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pivotTables/pivotTable1.xml" ContentType="application/vnd.openxmlformats-officedocument.spreadsheetml.pivotTable+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24226"/>
  <mc:AlternateContent xmlns:mc="http://schemas.openxmlformats.org/markup-compatibility/2006">
    <mc:Choice Requires="x15">
      <x15ac:absPath xmlns:x15ac="http://schemas.microsoft.com/office/spreadsheetml/2010/11/ac" url="U:\m-ga-projects01\19305\030\2017 Attach O - FYE 4-30-16\Informational Filing\"/>
    </mc:Choice>
  </mc:AlternateContent>
  <bookViews>
    <workbookView xWindow="-15" yWindow="-15" windowWidth="25230" windowHeight="6255" tabRatio="828" firstSheet="10" activeTab="13"/>
  </bookViews>
  <sheets>
    <sheet name="Nonlevelized-EIA 412" sheetId="1" r:id="rId1"/>
    <sheet name="EIA 412 Sch 2 Electric" sheetId="2" r:id="rId2"/>
    <sheet name="EIA 412 Sch 2 Total Utility" sheetId="3" r:id="rId3"/>
    <sheet name="EIA 412 Sch 3 Electric" sheetId="4" r:id="rId4"/>
    <sheet name="EIA 412 Sch 3 Total Utility" sheetId="5" r:id="rId5"/>
    <sheet name="EIA 412 Sch 4" sheetId="6" r:id="rId6"/>
    <sheet name="EIA 412 Sch 7" sheetId="7" r:id="rId7"/>
    <sheet name="WP - Allocation Factors" sheetId="8" r:id="rId8"/>
    <sheet name="WP - Plant Functionalization" sheetId="9" r:id="rId9"/>
    <sheet name="WP - Electric Utility Fund" sheetId="10" r:id="rId10"/>
    <sheet name="WP - Trial Balance" sheetId="11" r:id="rId11"/>
    <sheet name="WP - A&amp;G Expenses" sheetId="12" r:id="rId12"/>
    <sheet name="WP - O&amp;M Expenses" sheetId="13" r:id="rId13"/>
    <sheet name="WP - Other Taxes" sheetId="14" r:id="rId14"/>
    <sheet name="WP - Revenue Credits" sheetId="15" r:id="rId15"/>
    <sheet name="WP - Electric Revenues" sheetId="16" r:id="rId16"/>
  </sheets>
  <definedNames>
    <definedName name="_xlnm._FilterDatabase" localSheetId="9" hidden="1">'WP - Electric Utility Fund'!$A$8:$AK$519</definedName>
    <definedName name="_xlnm.Print_Area" localSheetId="1">'EIA 412 Sch 2 Electric'!$A$1:$F$56</definedName>
    <definedName name="_xlnm.Print_Area" localSheetId="2">'EIA 412 Sch 2 Total Utility'!$A$1:$F$56</definedName>
    <definedName name="_xlnm.Print_Area" localSheetId="5">'EIA 412 Sch 4'!$A$1:$G$30</definedName>
    <definedName name="_xlnm.Print_Area" localSheetId="0">'Nonlevelized-EIA 412'!$A$1:$K$316</definedName>
    <definedName name="_xlnm.Print_Area" localSheetId="7">'WP - Allocation Factors'!$A$1:$E$27</definedName>
    <definedName name="_xlnm.Print_Area" localSheetId="9">'WP - Electric Utility Fund'!$A$1:$AK$530</definedName>
    <definedName name="_xlnm.Print_Area" localSheetId="12">'WP - O&amp;M Expenses'!$A$1:$V$127</definedName>
    <definedName name="_xlnm.Print_Area" localSheetId="13">'WP - Other Taxes'!$A$1:$G$22</definedName>
    <definedName name="_xlnm.Print_Area" localSheetId="8">'WP - Plant Functionalization'!$A$1:$D$48</definedName>
    <definedName name="_xlnm.Print_Area" localSheetId="10">'WP - Trial Balance'!$A$1:$T$262</definedName>
    <definedName name="_xlnm.Print_Titles" localSheetId="9">'WP - Electric Utility Fund'!$A:$C,'WP - Electric Utility Fund'!$1:$8</definedName>
    <definedName name="_xlnm.Print_Titles" localSheetId="12">'WP - O&amp;M Expenses'!$1:$5</definedName>
    <definedName name="_xlnm.Print_Titles" localSheetId="10">'WP - Trial Balance'!$1:$10</definedName>
  </definedNames>
  <calcPr calcId="171027"/>
  <pivotCaches>
    <pivotCache cacheId="0" r:id="rId17"/>
  </pivotCaches>
</workbook>
</file>

<file path=xl/calcChain.xml><?xml version="1.0" encoding="utf-8"?>
<calcChain xmlns="http://schemas.openxmlformats.org/spreadsheetml/2006/main">
  <c r="T263" i="11" l="1"/>
  <c r="S519" i="10" l="1"/>
  <c r="AK519" i="10" s="1"/>
  <c r="Y519" i="10" s="1"/>
  <c r="R519" i="10"/>
  <c r="AJ519" i="10" s="1"/>
  <c r="X519" i="10" s="1"/>
  <c r="Q519" i="10"/>
  <c r="AI519" i="10" s="1"/>
  <c r="W519" i="10" s="1"/>
  <c r="P519" i="10"/>
  <c r="AH519" i="10" s="1"/>
  <c r="V519" i="10" s="1"/>
  <c r="O519" i="10"/>
  <c r="AG519" i="10" s="1"/>
  <c r="U519" i="10" s="1"/>
  <c r="S518" i="10"/>
  <c r="AK518" i="10" s="1"/>
  <c r="Y518" i="10" s="1"/>
  <c r="R518" i="10"/>
  <c r="AJ518" i="10" s="1"/>
  <c r="X518" i="10" s="1"/>
  <c r="Q518" i="10"/>
  <c r="AI518" i="10" s="1"/>
  <c r="W518" i="10" s="1"/>
  <c r="P518" i="10"/>
  <c r="AH518" i="10" s="1"/>
  <c r="V518" i="10" s="1"/>
  <c r="O518" i="10"/>
  <c r="AG518" i="10" s="1"/>
  <c r="U518" i="10" s="1"/>
  <c r="D12" i="9"/>
  <c r="D11" i="9"/>
  <c r="C12" i="9"/>
  <c r="C11" i="9"/>
  <c r="C10" i="9"/>
  <c r="C9" i="9"/>
  <c r="C8" i="9"/>
  <c r="C7" i="9"/>
  <c r="B12" i="9"/>
  <c r="B11" i="9"/>
  <c r="B10" i="9"/>
  <c r="B9" i="9"/>
  <c r="B7" i="9"/>
  <c r="I521" i="10" l="1"/>
  <c r="O517" i="10" l="1"/>
  <c r="AG517" i="10" s="1"/>
  <c r="P517" i="10"/>
  <c r="AH517" i="10" s="1"/>
  <c r="Q517" i="10"/>
  <c r="AI517" i="10" s="1"/>
  <c r="R517" i="10"/>
  <c r="AJ517" i="10" s="1"/>
  <c r="S517" i="10"/>
  <c r="AK517" i="10" s="1"/>
  <c r="O516" i="10"/>
  <c r="AG516" i="10" s="1"/>
  <c r="P516" i="10"/>
  <c r="AH516" i="10" s="1"/>
  <c r="Q516" i="10"/>
  <c r="AI516" i="10" s="1"/>
  <c r="R516" i="10"/>
  <c r="AJ516" i="10" s="1"/>
  <c r="S516" i="10"/>
  <c r="AK516" i="10" s="1"/>
  <c r="O515" i="10"/>
  <c r="AG515" i="10" s="1"/>
  <c r="P515" i="10"/>
  <c r="AH515" i="10" s="1"/>
  <c r="V515" i="10" s="1"/>
  <c r="Q515" i="10"/>
  <c r="AI515" i="10" s="1"/>
  <c r="W515" i="10" s="1"/>
  <c r="R515" i="10"/>
  <c r="AJ515" i="10" s="1"/>
  <c r="X515" i="10" s="1"/>
  <c r="S515" i="10"/>
  <c r="AK515" i="10" s="1"/>
  <c r="Y515" i="10" s="1"/>
  <c r="J519" i="10"/>
  <c r="J518" i="10"/>
  <c r="J517" i="10"/>
  <c r="J516" i="10"/>
  <c r="J515" i="10"/>
  <c r="AB519" i="10" l="1"/>
  <c r="AE519" i="10"/>
  <c r="AA519" i="10"/>
  <c r="AD519" i="10"/>
  <c r="AC519" i="10"/>
  <c r="AD518" i="10"/>
  <c r="AC518" i="10"/>
  <c r="AE518" i="10"/>
  <c r="AA518" i="10"/>
  <c r="AB518" i="10"/>
  <c r="AE515" i="10"/>
  <c r="AD515" i="10"/>
  <c r="AC515" i="10"/>
  <c r="AB515" i="10"/>
  <c r="Y517" i="10"/>
  <c r="AE517" i="10"/>
  <c r="U517" i="10"/>
  <c r="AA517" i="10"/>
  <c r="X517" i="10"/>
  <c r="AD517" i="10"/>
  <c r="W517" i="10"/>
  <c r="AC517" i="10"/>
  <c r="V517" i="10"/>
  <c r="AB517" i="10"/>
  <c r="Y516" i="10"/>
  <c r="AE516" i="10"/>
  <c r="U516" i="10"/>
  <c r="AA516" i="10"/>
  <c r="X516" i="10"/>
  <c r="AD516" i="10"/>
  <c r="W516" i="10"/>
  <c r="AC516" i="10"/>
  <c r="V516" i="10"/>
  <c r="AB516" i="10"/>
  <c r="U515" i="10"/>
  <c r="AA515" i="10"/>
  <c r="F31" i="3" l="1"/>
  <c r="A3" i="16" l="1"/>
  <c r="V86" i="13" l="1"/>
  <c r="V91" i="13"/>
  <c r="V96" i="13"/>
  <c r="V101" i="13"/>
  <c r="V123" i="13"/>
  <c r="S123" i="13"/>
  <c r="P101" i="13"/>
  <c r="P96" i="13"/>
  <c r="P91" i="13"/>
  <c r="P86" i="13"/>
  <c r="J91" i="13"/>
  <c r="J86" i="13"/>
  <c r="V56" i="13"/>
  <c r="X56" i="13" s="1"/>
  <c r="S56" i="13"/>
  <c r="J261" i="11"/>
  <c r="I259" i="11"/>
  <c r="I244" i="11"/>
  <c r="I243" i="11"/>
  <c r="I100" i="11"/>
  <c r="G119" i="11"/>
  <c r="I119" i="11" s="1"/>
  <c r="L119" i="11" s="1"/>
  <c r="S514" i="10"/>
  <c r="AK514" i="10" s="1"/>
  <c r="R514" i="10"/>
  <c r="AJ514" i="10" s="1"/>
  <c r="Q514" i="10"/>
  <c r="AI514" i="10" s="1"/>
  <c r="P514" i="10"/>
  <c r="AH514" i="10" s="1"/>
  <c r="O514" i="10"/>
  <c r="AG514" i="10" s="1"/>
  <c r="S513" i="10"/>
  <c r="AK513" i="10" s="1"/>
  <c r="R513" i="10"/>
  <c r="AJ513" i="10" s="1"/>
  <c r="Q513" i="10"/>
  <c r="AI513" i="10" s="1"/>
  <c r="P513" i="10"/>
  <c r="AH513" i="10" s="1"/>
  <c r="O513" i="10"/>
  <c r="AG513" i="10" s="1"/>
  <c r="S512" i="10"/>
  <c r="AK512" i="10" s="1"/>
  <c r="R512" i="10"/>
  <c r="AJ512" i="10" s="1"/>
  <c r="Q512" i="10"/>
  <c r="AI512" i="10" s="1"/>
  <c r="P512" i="10"/>
  <c r="AH512" i="10" s="1"/>
  <c r="O512" i="10"/>
  <c r="AG512" i="10" s="1"/>
  <c r="S511" i="10"/>
  <c r="AK511" i="10" s="1"/>
  <c r="R511" i="10"/>
  <c r="AJ511" i="10" s="1"/>
  <c r="Q511" i="10"/>
  <c r="AI511" i="10" s="1"/>
  <c r="P511" i="10"/>
  <c r="AH511" i="10" s="1"/>
  <c r="O511" i="10"/>
  <c r="AG511" i="10" s="1"/>
  <c r="S510" i="10"/>
  <c r="AK510" i="10" s="1"/>
  <c r="R510" i="10"/>
  <c r="AJ510" i="10" s="1"/>
  <c r="Q510" i="10"/>
  <c r="AI510" i="10" s="1"/>
  <c r="P510" i="10"/>
  <c r="AH510" i="10" s="1"/>
  <c r="O510" i="10"/>
  <c r="AG510" i="10" s="1"/>
  <c r="S509" i="10"/>
  <c r="AK509" i="10" s="1"/>
  <c r="R509" i="10"/>
  <c r="AJ509" i="10" s="1"/>
  <c r="Q509" i="10"/>
  <c r="AI509" i="10" s="1"/>
  <c r="P509" i="10"/>
  <c r="AH509" i="10" s="1"/>
  <c r="O509" i="10"/>
  <c r="AG509" i="10" s="1"/>
  <c r="S508" i="10"/>
  <c r="AK508" i="10" s="1"/>
  <c r="R508" i="10"/>
  <c r="AJ508" i="10" s="1"/>
  <c r="Q508" i="10"/>
  <c r="AI508" i="10" s="1"/>
  <c r="P508" i="10"/>
  <c r="AH508" i="10" s="1"/>
  <c r="O508" i="10"/>
  <c r="AG508" i="10" s="1"/>
  <c r="S507" i="10"/>
  <c r="AK507" i="10" s="1"/>
  <c r="R507" i="10"/>
  <c r="AJ507" i="10" s="1"/>
  <c r="Q507" i="10"/>
  <c r="AI507" i="10" s="1"/>
  <c r="P507" i="10"/>
  <c r="AH507" i="10" s="1"/>
  <c r="O507" i="10"/>
  <c r="AG507" i="10" s="1"/>
  <c r="S506" i="10"/>
  <c r="AK506" i="10" s="1"/>
  <c r="R506" i="10"/>
  <c r="AJ506" i="10" s="1"/>
  <c r="Q506" i="10"/>
  <c r="AI506" i="10" s="1"/>
  <c r="P506" i="10"/>
  <c r="AH506" i="10" s="1"/>
  <c r="O506" i="10"/>
  <c r="AG506" i="10" s="1"/>
  <c r="S505" i="10"/>
  <c r="AK505" i="10" s="1"/>
  <c r="R505" i="10"/>
  <c r="AJ505" i="10" s="1"/>
  <c r="Q505" i="10"/>
  <c r="AI505" i="10" s="1"/>
  <c r="P505" i="10"/>
  <c r="AH505" i="10" s="1"/>
  <c r="O505" i="10"/>
  <c r="AG505" i="10" s="1"/>
  <c r="X505" i="10" l="1"/>
  <c r="X509" i="10"/>
  <c r="X506" i="10"/>
  <c r="X510" i="10"/>
  <c r="X507" i="10"/>
  <c r="X511" i="10"/>
  <c r="W511" i="10"/>
  <c r="U513" i="10"/>
  <c r="W514" i="10"/>
  <c r="W505" i="10"/>
  <c r="W506" i="10"/>
  <c r="W507" i="10"/>
  <c r="W508" i="10"/>
  <c r="X512" i="10"/>
  <c r="X514" i="10"/>
  <c r="W509" i="10"/>
  <c r="U509" i="10"/>
  <c r="U510" i="10"/>
  <c r="Y510" i="10"/>
  <c r="U511" i="10"/>
  <c r="Y511" i="10"/>
  <c r="U512" i="10"/>
  <c r="Y512" i="10"/>
  <c r="W513" i="10"/>
  <c r="U514" i="10"/>
  <c r="Y514" i="10"/>
  <c r="W510" i="10"/>
  <c r="W512" i="10"/>
  <c r="Y513" i="10"/>
  <c r="Y509" i="10"/>
  <c r="U505" i="10"/>
  <c r="Y505" i="10"/>
  <c r="U506" i="10"/>
  <c r="Y506" i="10"/>
  <c r="U507" i="10"/>
  <c r="Y507" i="10"/>
  <c r="U508" i="10"/>
  <c r="Y508" i="10"/>
  <c r="X513" i="10"/>
  <c r="X508" i="10"/>
  <c r="V509" i="10"/>
  <c r="V510" i="10"/>
  <c r="V511" i="10"/>
  <c r="V512" i="10"/>
  <c r="V513" i="10"/>
  <c r="V514" i="10"/>
  <c r="V505" i="10"/>
  <c r="V506" i="10"/>
  <c r="V507" i="10"/>
  <c r="V508" i="10"/>
  <c r="J514" i="10"/>
  <c r="AD514" i="10" s="1"/>
  <c r="J513" i="10"/>
  <c r="AA513" i="10" s="1"/>
  <c r="J512" i="10"/>
  <c r="AD512" i="10" s="1"/>
  <c r="J511" i="10"/>
  <c r="AB511" i="10" s="1"/>
  <c r="J510" i="10"/>
  <c r="AC510" i="10" s="1"/>
  <c r="J509" i="10"/>
  <c r="AB509" i="10" s="1"/>
  <c r="J508" i="10"/>
  <c r="AD508" i="10" s="1"/>
  <c r="J507" i="10"/>
  <c r="AD507" i="10" s="1"/>
  <c r="J506" i="10"/>
  <c r="AC506" i="10" s="1"/>
  <c r="J505" i="10"/>
  <c r="AB505" i="10" s="1"/>
  <c r="AA509" i="10" l="1"/>
  <c r="AE512" i="10"/>
  <c r="AE513" i="10"/>
  <c r="AE510" i="10"/>
  <c r="AA508" i="10"/>
  <c r="AA505" i="10"/>
  <c r="AD505" i="10"/>
  <c r="AD513" i="10"/>
  <c r="AA506" i="10"/>
  <c r="AD506" i="10"/>
  <c r="AB512" i="10"/>
  <c r="AA514" i="10"/>
  <c r="AC514" i="10"/>
  <c r="AA507" i="10"/>
  <c r="AB507" i="10"/>
  <c r="AC512" i="10"/>
  <c r="AC513" i="10"/>
  <c r="AC509" i="10"/>
  <c r="AC507" i="10"/>
  <c r="AC505" i="10"/>
  <c r="AB513" i="10"/>
  <c r="AB508" i="10"/>
  <c r="AB510" i="10"/>
  <c r="AE511" i="10"/>
  <c r="AE508" i="10"/>
  <c r="AE507" i="10"/>
  <c r="AE506" i="10"/>
  <c r="AE505" i="10"/>
  <c r="AE509" i="10"/>
  <c r="AE514" i="10"/>
  <c r="AA512" i="10"/>
  <c r="AA511" i="10"/>
  <c r="AA510" i="10"/>
  <c r="AD511" i="10"/>
  <c r="AD510" i="10"/>
  <c r="AD509" i="10"/>
  <c r="AB514" i="10"/>
  <c r="AB506" i="10"/>
  <c r="AC508" i="10"/>
  <c r="AC511" i="10"/>
  <c r="J503" i="10"/>
  <c r="J502" i="10"/>
  <c r="AO240" i="10"/>
  <c r="AO241" i="10"/>
  <c r="AO242" i="10"/>
  <c r="AO243" i="10"/>
  <c r="AO244" i="10"/>
  <c r="AO245" i="10"/>
  <c r="AO246" i="10"/>
  <c r="AO247" i="10"/>
  <c r="AO248" i="10"/>
  <c r="AO249" i="10"/>
  <c r="AO250" i="10"/>
  <c r="AO251" i="10"/>
  <c r="AO252" i="10"/>
  <c r="AO253" i="10"/>
  <c r="AO254" i="10"/>
  <c r="AO255" i="10"/>
  <c r="AO256" i="10"/>
  <c r="AO257" i="10"/>
  <c r="AO258" i="10"/>
  <c r="AO259" i="10"/>
  <c r="AO260" i="10"/>
  <c r="AO261" i="10"/>
  <c r="AO262" i="10"/>
  <c r="AO263" i="10"/>
  <c r="AO264" i="10"/>
  <c r="AO265" i="10"/>
  <c r="AO266" i="10"/>
  <c r="AO267" i="10"/>
  <c r="AO268" i="10"/>
  <c r="AO269" i="10"/>
  <c r="AO270" i="10"/>
  <c r="AO271" i="10"/>
  <c r="AO272" i="10"/>
  <c r="AO273" i="10"/>
  <c r="AO274" i="10"/>
  <c r="AO275" i="10"/>
  <c r="AO276" i="10"/>
  <c r="AO277" i="10"/>
  <c r="AO278" i="10"/>
  <c r="AO279" i="10"/>
  <c r="AO280" i="10"/>
  <c r="AO281" i="10"/>
  <c r="AO282" i="10"/>
  <c r="AO283" i="10"/>
  <c r="AO284" i="10"/>
  <c r="AO285" i="10"/>
  <c r="AO286" i="10"/>
  <c r="AO287" i="10"/>
  <c r="AO288" i="10"/>
  <c r="AO289" i="10"/>
  <c r="AO290" i="10"/>
  <c r="AO291" i="10"/>
  <c r="AO292" i="10"/>
  <c r="AO293" i="10"/>
  <c r="AO294" i="10"/>
  <c r="AO295" i="10"/>
  <c r="AO296" i="10"/>
  <c r="AO297" i="10"/>
  <c r="AO298" i="10"/>
  <c r="AO299" i="10"/>
  <c r="AO300" i="10"/>
  <c r="AO301" i="10"/>
  <c r="AO302" i="10"/>
  <c r="AO303" i="10"/>
  <c r="AO304" i="10"/>
  <c r="AO305" i="10"/>
  <c r="AO306" i="10"/>
  <c r="AO307" i="10"/>
  <c r="AO308" i="10"/>
  <c r="AO309" i="10"/>
  <c r="AO310" i="10"/>
  <c r="AO311" i="10"/>
  <c r="AO312" i="10"/>
  <c r="AO313" i="10"/>
  <c r="AO314" i="10"/>
  <c r="AO315" i="10"/>
  <c r="AO316" i="10"/>
  <c r="AO317" i="10"/>
  <c r="AO318" i="10"/>
  <c r="AO319" i="10"/>
  <c r="AO320" i="10"/>
  <c r="AO321" i="10"/>
  <c r="AO322" i="10"/>
  <c r="AO323" i="10"/>
  <c r="AO324" i="10"/>
  <c r="AO325" i="10"/>
  <c r="AO326" i="10"/>
  <c r="AO327" i="10"/>
  <c r="AO328" i="10"/>
  <c r="AO329" i="10"/>
  <c r="AO330" i="10"/>
  <c r="AO331" i="10"/>
  <c r="AO332" i="10"/>
  <c r="AO333" i="10"/>
  <c r="AO334" i="10"/>
  <c r="AO335" i="10"/>
  <c r="AO336" i="10"/>
  <c r="AO337" i="10"/>
  <c r="AO338" i="10"/>
  <c r="AO339" i="10"/>
  <c r="AO340" i="10"/>
  <c r="AO341" i="10"/>
  <c r="AO342" i="10"/>
  <c r="AO343" i="10"/>
  <c r="AO344" i="10"/>
  <c r="AO345" i="10"/>
  <c r="AO346" i="10"/>
  <c r="AO347" i="10"/>
  <c r="AO348" i="10"/>
  <c r="AO349" i="10"/>
  <c r="AO350" i="10"/>
  <c r="AO351" i="10"/>
  <c r="AO352" i="10"/>
  <c r="AO353" i="10"/>
  <c r="AO354" i="10"/>
  <c r="AO355" i="10"/>
  <c r="AO356" i="10"/>
  <c r="AO357" i="10"/>
  <c r="AO358" i="10"/>
  <c r="AO359" i="10"/>
  <c r="AO360" i="10"/>
  <c r="AO361" i="10"/>
  <c r="AO362" i="10"/>
  <c r="AO363" i="10"/>
  <c r="AO364" i="10"/>
  <c r="AO365" i="10"/>
  <c r="AO366" i="10"/>
  <c r="AO367" i="10"/>
  <c r="AO368" i="10"/>
  <c r="AO369" i="10"/>
  <c r="AO370" i="10"/>
  <c r="AO371" i="10"/>
  <c r="AO372" i="10"/>
  <c r="AO373" i="10"/>
  <c r="AO374" i="10"/>
  <c r="AO375" i="10"/>
  <c r="AO376" i="10"/>
  <c r="AO377" i="10"/>
  <c r="AO378" i="10"/>
  <c r="AO379" i="10"/>
  <c r="AO380" i="10"/>
  <c r="AO381" i="10"/>
  <c r="AO382" i="10"/>
  <c r="AO383" i="10"/>
  <c r="AO384" i="10"/>
  <c r="AO385" i="10"/>
  <c r="AO386" i="10"/>
  <c r="AO387" i="10"/>
  <c r="AO388" i="10"/>
  <c r="AO389" i="10"/>
  <c r="AO390" i="10"/>
  <c r="AO391" i="10"/>
  <c r="AO392" i="10"/>
  <c r="AO393" i="10"/>
  <c r="AO394" i="10"/>
  <c r="AO395" i="10"/>
  <c r="AO396" i="10"/>
  <c r="AO397" i="10"/>
  <c r="AO398" i="10"/>
  <c r="AO399" i="10"/>
  <c r="AO400" i="10"/>
  <c r="AO401" i="10"/>
  <c r="AO402" i="10"/>
  <c r="AO403" i="10"/>
  <c r="AO404" i="10"/>
  <c r="AO405" i="10"/>
  <c r="AO406" i="10"/>
  <c r="AO407" i="10"/>
  <c r="AO408" i="10"/>
  <c r="AO409" i="10"/>
  <c r="AO410" i="10"/>
  <c r="AO411" i="10"/>
  <c r="AO412" i="10"/>
  <c r="AO413" i="10"/>
  <c r="AO414" i="10"/>
  <c r="AO415" i="10"/>
  <c r="AO416" i="10"/>
  <c r="AO417" i="10"/>
  <c r="AO418" i="10"/>
  <c r="AO419" i="10"/>
  <c r="AO420" i="10"/>
  <c r="AO421" i="10"/>
  <c r="AO422" i="10"/>
  <c r="AO423" i="10"/>
  <c r="AO424" i="10"/>
  <c r="AO425" i="10"/>
  <c r="AO426" i="10"/>
  <c r="AO427" i="10"/>
  <c r="AO428" i="10"/>
  <c r="AO429" i="10"/>
  <c r="AO430" i="10"/>
  <c r="AO431" i="10"/>
  <c r="AO432" i="10"/>
  <c r="AO433" i="10"/>
  <c r="AO434" i="10"/>
  <c r="AO435" i="10"/>
  <c r="AO436" i="10"/>
  <c r="AO437" i="10"/>
  <c r="AO438" i="10"/>
  <c r="AO439" i="10"/>
  <c r="AO440" i="10"/>
  <c r="AO441" i="10"/>
  <c r="AO442" i="10"/>
  <c r="AO443" i="10"/>
  <c r="AO444" i="10"/>
  <c r="AO445" i="10"/>
  <c r="AO446" i="10"/>
  <c r="AO447" i="10"/>
  <c r="AO448" i="10"/>
  <c r="AO449" i="10"/>
  <c r="AO450" i="10"/>
  <c r="AO451" i="10"/>
  <c r="AO452" i="10"/>
  <c r="AO453" i="10"/>
  <c r="AO454" i="10"/>
  <c r="AO455" i="10"/>
  <c r="AO456" i="10"/>
  <c r="AO457" i="10"/>
  <c r="AO458" i="10"/>
  <c r="AO459" i="10"/>
  <c r="AO460" i="10"/>
  <c r="AO461" i="10"/>
  <c r="AO462" i="10"/>
  <c r="AO463" i="10"/>
  <c r="AO464" i="10"/>
  <c r="AO465" i="10"/>
  <c r="AO466" i="10"/>
  <c r="AO467" i="10"/>
  <c r="AO468" i="10"/>
  <c r="AO469" i="10"/>
  <c r="AO470" i="10"/>
  <c r="AO471" i="10"/>
  <c r="AO472" i="10"/>
  <c r="AO473" i="10"/>
  <c r="AO474" i="10"/>
  <c r="AO475" i="10"/>
  <c r="AO476" i="10"/>
  <c r="AO477" i="10"/>
  <c r="AO478" i="10"/>
  <c r="AO479" i="10"/>
  <c r="AO480" i="10"/>
  <c r="AO481" i="10"/>
  <c r="AO482" i="10"/>
  <c r="AO483" i="10"/>
  <c r="AO484" i="10"/>
  <c r="AO485" i="10"/>
  <c r="AO486" i="10"/>
  <c r="AO487" i="10"/>
  <c r="AO488" i="10"/>
  <c r="AO489" i="10"/>
  <c r="AO490" i="10"/>
  <c r="AO491" i="10"/>
  <c r="AO492" i="10"/>
  <c r="AO493" i="10"/>
  <c r="AO494" i="10"/>
  <c r="AO495" i="10"/>
  <c r="AO496" i="10"/>
  <c r="AO497" i="10"/>
  <c r="AO498" i="10"/>
  <c r="AO499" i="10"/>
  <c r="AO500" i="10"/>
  <c r="AO501" i="10"/>
  <c r="AO502" i="10"/>
  <c r="AO503" i="10"/>
  <c r="AO239" i="10"/>
  <c r="AO231" i="10"/>
  <c r="AO232" i="10"/>
  <c r="AO233" i="10"/>
  <c r="AO234" i="10"/>
  <c r="AO235" i="10"/>
  <c r="AO236" i="10"/>
  <c r="AO237" i="10"/>
  <c r="AO238" i="10"/>
  <c r="AO230" i="10"/>
  <c r="AO9" i="10"/>
  <c r="AO10" i="10"/>
  <c r="AO11" i="10"/>
  <c r="AO12" i="10"/>
  <c r="AO13" i="10"/>
  <c r="AO14" i="10"/>
  <c r="AO15" i="10"/>
  <c r="AO16" i="10"/>
  <c r="AO17" i="10"/>
  <c r="AO18" i="10"/>
  <c r="AO19" i="10"/>
  <c r="AO20" i="10"/>
  <c r="AO21" i="10"/>
  <c r="AO22" i="10"/>
  <c r="AO23" i="10"/>
  <c r="AO24" i="10"/>
  <c r="AO25" i="10"/>
  <c r="AO26" i="10"/>
  <c r="AO27" i="10"/>
  <c r="AO28" i="10"/>
  <c r="AO29" i="10"/>
  <c r="AO30" i="10"/>
  <c r="AO31" i="10"/>
  <c r="AO32" i="10"/>
  <c r="AO33" i="10"/>
  <c r="AO34" i="10"/>
  <c r="AO35" i="10"/>
  <c r="AO36" i="10"/>
  <c r="AO37" i="10"/>
  <c r="AO38" i="10"/>
  <c r="AO39" i="10"/>
  <c r="AO40" i="10"/>
  <c r="AO41" i="10"/>
  <c r="AO42" i="10"/>
  <c r="AO43" i="10"/>
  <c r="AO44" i="10"/>
  <c r="AO45" i="10"/>
  <c r="AO46" i="10"/>
  <c r="AO47" i="10"/>
  <c r="AO48" i="10"/>
  <c r="AO49" i="10"/>
  <c r="AO50" i="10"/>
  <c r="AO51" i="10"/>
  <c r="AO52" i="10"/>
  <c r="AO53" i="10"/>
  <c r="AO54" i="10"/>
  <c r="AO55" i="10"/>
  <c r="AO56" i="10"/>
  <c r="AO57" i="10"/>
  <c r="AO58" i="10"/>
  <c r="AO59" i="10"/>
  <c r="AO60" i="10"/>
  <c r="AO61" i="10"/>
  <c r="AO62" i="10"/>
  <c r="AO63" i="10"/>
  <c r="AO64" i="10"/>
  <c r="AO65" i="10"/>
  <c r="AO66" i="10"/>
  <c r="AO67" i="10"/>
  <c r="AO68" i="10"/>
  <c r="AO69" i="10"/>
  <c r="AO70" i="10"/>
  <c r="AO71" i="10"/>
  <c r="AO72" i="10"/>
  <c r="AO73" i="10"/>
  <c r="AO74" i="10"/>
  <c r="AO75" i="10"/>
  <c r="AO76" i="10"/>
  <c r="AO77" i="10"/>
  <c r="AO78" i="10"/>
  <c r="AO79" i="10"/>
  <c r="AO80" i="10"/>
  <c r="AO81" i="10"/>
  <c r="AO82" i="10"/>
  <c r="AO83" i="10"/>
  <c r="AO84" i="10"/>
  <c r="AO85" i="10"/>
  <c r="AO86" i="10"/>
  <c r="AO87" i="10"/>
  <c r="AO88" i="10"/>
  <c r="AO89" i="10"/>
  <c r="AO90" i="10"/>
  <c r="AO91" i="10"/>
  <c r="AO92" i="10"/>
  <c r="AO93" i="10"/>
  <c r="AO94" i="10"/>
  <c r="AO95" i="10"/>
  <c r="AO96" i="10"/>
  <c r="AO97" i="10"/>
  <c r="AO98" i="10"/>
  <c r="AO99" i="10"/>
  <c r="AO100" i="10"/>
  <c r="AO101" i="10"/>
  <c r="AO102" i="10"/>
  <c r="AO103" i="10"/>
  <c r="AO104" i="10"/>
  <c r="AO105" i="10"/>
  <c r="AO106" i="10"/>
  <c r="AO107" i="10"/>
  <c r="AO108" i="10"/>
  <c r="AO109" i="10"/>
  <c r="AO110" i="10"/>
  <c r="AO111" i="10"/>
  <c r="AO112" i="10"/>
  <c r="AO113" i="10"/>
  <c r="AO114" i="10"/>
  <c r="AO115" i="10"/>
  <c r="AO116" i="10"/>
  <c r="AO117" i="10"/>
  <c r="AO118" i="10"/>
  <c r="AO119" i="10"/>
  <c r="AO120" i="10"/>
  <c r="AO121" i="10"/>
  <c r="AO122" i="10"/>
  <c r="AO123" i="10"/>
  <c r="AO124" i="10"/>
  <c r="AO125" i="10"/>
  <c r="AO126" i="10"/>
  <c r="AO127" i="10"/>
  <c r="AO128" i="10"/>
  <c r="AO129" i="10"/>
  <c r="AO130" i="10"/>
  <c r="AO131" i="10"/>
  <c r="AO132" i="10"/>
  <c r="AO133" i="10"/>
  <c r="AO134" i="10"/>
  <c r="AO135" i="10"/>
  <c r="AO136" i="10"/>
  <c r="AO137" i="10"/>
  <c r="AO138" i="10"/>
  <c r="AO139" i="10"/>
  <c r="AO140" i="10"/>
  <c r="AO141" i="10"/>
  <c r="AO142" i="10"/>
  <c r="AO143" i="10"/>
  <c r="AO144" i="10"/>
  <c r="AO145" i="10"/>
  <c r="AO146" i="10"/>
  <c r="AO147" i="10"/>
  <c r="AO148" i="10"/>
  <c r="AO149" i="10"/>
  <c r="AO150" i="10"/>
  <c r="AO151" i="10"/>
  <c r="AO152" i="10"/>
  <c r="AO153" i="10"/>
  <c r="AO154" i="10"/>
  <c r="AO155" i="10"/>
  <c r="AO156" i="10"/>
  <c r="AO157" i="10"/>
  <c r="AO158" i="10"/>
  <c r="AO159" i="10"/>
  <c r="AO160" i="10"/>
  <c r="AO161" i="10"/>
  <c r="AO162" i="10"/>
  <c r="AO163" i="10"/>
  <c r="AO164" i="10"/>
  <c r="AO165" i="10"/>
  <c r="AO166" i="10"/>
  <c r="AO167" i="10"/>
  <c r="AO168" i="10"/>
  <c r="AO169" i="10"/>
  <c r="AO170" i="10"/>
  <c r="AO171" i="10"/>
  <c r="AO172" i="10"/>
  <c r="AO173" i="10"/>
  <c r="AO174" i="10"/>
  <c r="AO175" i="10"/>
  <c r="AO176" i="10"/>
  <c r="AO177" i="10"/>
  <c r="AO178" i="10"/>
  <c r="AO179" i="10"/>
  <c r="AO180" i="10"/>
  <c r="AO181" i="10"/>
  <c r="AO182" i="10"/>
  <c r="AO183" i="10"/>
  <c r="AO184" i="10"/>
  <c r="AO185" i="10"/>
  <c r="AO186" i="10"/>
  <c r="AO187" i="10"/>
  <c r="AO188" i="10"/>
  <c r="AO189" i="10"/>
  <c r="AO190" i="10"/>
  <c r="AO191" i="10"/>
  <c r="AO192" i="10"/>
  <c r="AO193" i="10"/>
  <c r="AO194" i="10"/>
  <c r="AO195" i="10"/>
  <c r="AO196" i="10"/>
  <c r="AO197" i="10"/>
  <c r="AO198" i="10"/>
  <c r="AO199" i="10"/>
  <c r="AO200" i="10"/>
  <c r="AO201" i="10"/>
  <c r="AO202" i="10"/>
  <c r="AO203" i="10"/>
  <c r="AO204" i="10"/>
  <c r="AO205" i="10"/>
  <c r="AO206" i="10"/>
  <c r="AO207" i="10"/>
  <c r="AO208" i="10"/>
  <c r="AO209" i="10"/>
  <c r="AO210" i="10"/>
  <c r="AO211" i="10"/>
  <c r="AO212" i="10"/>
  <c r="AO213" i="10"/>
  <c r="AO214" i="10"/>
  <c r="AO215" i="10"/>
  <c r="AO216" i="10"/>
  <c r="AO217" i="10"/>
  <c r="AO218" i="10"/>
  <c r="AO219" i="10"/>
  <c r="AO220" i="10"/>
  <c r="AO221" i="10"/>
  <c r="AO222" i="10"/>
  <c r="AO223" i="10"/>
  <c r="AO224" i="10"/>
  <c r="AO225" i="10"/>
  <c r="AO226" i="10"/>
  <c r="AO227" i="10"/>
  <c r="AO228" i="10"/>
  <c r="AO229" i="10"/>
  <c r="C19" i="5" l="1"/>
  <c r="C14" i="5"/>
  <c r="C11" i="5"/>
  <c r="E61" i="3"/>
  <c r="C36" i="3"/>
  <c r="C33" i="3"/>
  <c r="F44" i="3"/>
  <c r="F38" i="3"/>
  <c r="F20" i="3"/>
  <c r="F12" i="3"/>
  <c r="N15" i="15"/>
  <c r="M11" i="15"/>
  <c r="M15" i="15" s="1"/>
  <c r="L11" i="15"/>
  <c r="L15" i="15" s="1"/>
  <c r="K11" i="15"/>
  <c r="K15" i="15" s="1"/>
  <c r="J11" i="15"/>
  <c r="J15" i="15" s="1"/>
  <c r="I11" i="15"/>
  <c r="I15" i="15" s="1"/>
  <c r="H11" i="15"/>
  <c r="H15" i="15" s="1"/>
  <c r="G11" i="15"/>
  <c r="G15" i="15" s="1"/>
  <c r="F11" i="15"/>
  <c r="E11" i="15"/>
  <c r="D11" i="15"/>
  <c r="N10" i="15"/>
  <c r="N9" i="15"/>
  <c r="D242" i="1" l="1"/>
  <c r="D87" i="1"/>
  <c r="F15" i="15" l="1"/>
  <c r="E15" i="15"/>
  <c r="D15" i="15"/>
  <c r="C11" i="15"/>
  <c r="C15" i="15" s="1"/>
  <c r="B11" i="15"/>
  <c r="B15" i="15" s="1"/>
  <c r="N11" i="15"/>
  <c r="S127" i="13"/>
  <c r="H127" i="13"/>
  <c r="P125" i="13"/>
  <c r="V125" i="13" s="1"/>
  <c r="X125" i="13" s="1"/>
  <c r="P124" i="13"/>
  <c r="V124" i="13" s="1"/>
  <c r="X124" i="13" s="1"/>
  <c r="Q122" i="13"/>
  <c r="V122" i="13" s="1"/>
  <c r="X122" i="13" s="1"/>
  <c r="Q121" i="13"/>
  <c r="V121" i="13" s="1"/>
  <c r="X121" i="13" s="1"/>
  <c r="Q120" i="13"/>
  <c r="T119" i="13"/>
  <c r="V119" i="13" s="1"/>
  <c r="X119" i="13" s="1"/>
  <c r="T118" i="13"/>
  <c r="V118" i="13" s="1"/>
  <c r="X118" i="13" s="1"/>
  <c r="T117" i="13"/>
  <c r="P116" i="13"/>
  <c r="V116" i="13" s="1"/>
  <c r="X116" i="13" s="1"/>
  <c r="P115" i="13"/>
  <c r="V115" i="13" s="1"/>
  <c r="X115" i="13" s="1"/>
  <c r="P114" i="13"/>
  <c r="V114" i="13" s="1"/>
  <c r="X114" i="13" s="1"/>
  <c r="P113" i="13"/>
  <c r="V113" i="13" s="1"/>
  <c r="X113" i="13" s="1"/>
  <c r="P112" i="13"/>
  <c r="V112" i="13" s="1"/>
  <c r="X112" i="13" s="1"/>
  <c r="P111" i="13"/>
  <c r="V111" i="13" s="1"/>
  <c r="X111" i="13" s="1"/>
  <c r="P110" i="13"/>
  <c r="V110" i="13" s="1"/>
  <c r="X110" i="13" s="1"/>
  <c r="P109" i="13"/>
  <c r="V109" i="13" s="1"/>
  <c r="X109" i="13" s="1"/>
  <c r="P108" i="13"/>
  <c r="V108" i="13" s="1"/>
  <c r="X108" i="13" s="1"/>
  <c r="P107" i="13"/>
  <c r="V107" i="13" s="1"/>
  <c r="X107" i="13" s="1"/>
  <c r="P106" i="13"/>
  <c r="V106" i="13" s="1"/>
  <c r="X106" i="13" s="1"/>
  <c r="P105" i="13"/>
  <c r="V105" i="13" s="1"/>
  <c r="X105" i="13" s="1"/>
  <c r="P104" i="13"/>
  <c r="V104" i="13" s="1"/>
  <c r="X104" i="13" s="1"/>
  <c r="P103" i="13"/>
  <c r="V103" i="13" s="1"/>
  <c r="X103" i="13" s="1"/>
  <c r="P102" i="13"/>
  <c r="V102" i="13" s="1"/>
  <c r="X102" i="13" s="1"/>
  <c r="P100" i="13"/>
  <c r="V100" i="13" s="1"/>
  <c r="X100" i="13" s="1"/>
  <c r="P99" i="13"/>
  <c r="V99" i="13" s="1"/>
  <c r="X99" i="13" s="1"/>
  <c r="P98" i="13"/>
  <c r="V98" i="13" s="1"/>
  <c r="X98" i="13" s="1"/>
  <c r="P97" i="13"/>
  <c r="V97" i="13" s="1"/>
  <c r="X97" i="13" s="1"/>
  <c r="P95" i="13"/>
  <c r="V95" i="13" s="1"/>
  <c r="X95" i="13" s="1"/>
  <c r="J95" i="13"/>
  <c r="P94" i="13"/>
  <c r="V94" i="13" s="1"/>
  <c r="X94" i="13" s="1"/>
  <c r="J94" i="13"/>
  <c r="P93" i="13"/>
  <c r="V93" i="13" s="1"/>
  <c r="X93" i="13" s="1"/>
  <c r="J93" i="13"/>
  <c r="P92" i="13"/>
  <c r="V92" i="13" s="1"/>
  <c r="X92" i="13" s="1"/>
  <c r="J92" i="13"/>
  <c r="P90" i="13"/>
  <c r="V90" i="13" s="1"/>
  <c r="X90" i="13" s="1"/>
  <c r="J90" i="13"/>
  <c r="P89" i="13"/>
  <c r="V89" i="13" s="1"/>
  <c r="X89" i="13" s="1"/>
  <c r="J89" i="13"/>
  <c r="P88" i="13"/>
  <c r="V88" i="13" s="1"/>
  <c r="X88" i="13" s="1"/>
  <c r="J88" i="13"/>
  <c r="P87" i="13"/>
  <c r="V87" i="13" s="1"/>
  <c r="X87" i="13" s="1"/>
  <c r="J87" i="13"/>
  <c r="P85" i="13"/>
  <c r="V85" i="13" s="1"/>
  <c r="X85" i="13" s="1"/>
  <c r="J85" i="13"/>
  <c r="P84" i="13"/>
  <c r="V84" i="13" s="1"/>
  <c r="X84" i="13" s="1"/>
  <c r="J84" i="13"/>
  <c r="P83" i="13"/>
  <c r="V83" i="13" s="1"/>
  <c r="X83" i="13" s="1"/>
  <c r="J83" i="13"/>
  <c r="P82" i="13"/>
  <c r="V82" i="13" s="1"/>
  <c r="X82" i="13" s="1"/>
  <c r="J82" i="13"/>
  <c r="P81" i="13"/>
  <c r="J81" i="13"/>
  <c r="H79" i="13"/>
  <c r="S70" i="13"/>
  <c r="H70" i="13"/>
  <c r="T57" i="13"/>
  <c r="T70" i="13" s="1"/>
  <c r="K28" i="13"/>
  <c r="P28" i="13" s="1"/>
  <c r="J28" i="13"/>
  <c r="M28" i="13" s="1"/>
  <c r="D28" i="13"/>
  <c r="F28" i="13" s="1"/>
  <c r="K27" i="13"/>
  <c r="P27" i="13" s="1"/>
  <c r="D27" i="13"/>
  <c r="F27" i="13" s="1"/>
  <c r="K26" i="13"/>
  <c r="P26" i="13" s="1"/>
  <c r="J26" i="13"/>
  <c r="M26" i="13" s="1"/>
  <c r="D26" i="13"/>
  <c r="F26" i="13" s="1"/>
  <c r="K25" i="13"/>
  <c r="P25" i="13" s="1"/>
  <c r="D25" i="13"/>
  <c r="F25" i="13" s="1"/>
  <c r="K24" i="13"/>
  <c r="P24" i="13" s="1"/>
  <c r="J24" i="13"/>
  <c r="M24" i="13" s="1"/>
  <c r="D24" i="13"/>
  <c r="F24" i="13" s="1"/>
  <c r="K23" i="13"/>
  <c r="P23" i="13" s="1"/>
  <c r="D23" i="13"/>
  <c r="F23" i="13" s="1"/>
  <c r="K22" i="13"/>
  <c r="P22" i="13" s="1"/>
  <c r="J22" i="13"/>
  <c r="M22" i="13" s="1"/>
  <c r="D22" i="13"/>
  <c r="F22" i="13" s="1"/>
  <c r="K21" i="13"/>
  <c r="P21" i="13" s="1"/>
  <c r="D21" i="13"/>
  <c r="F21" i="13" s="1"/>
  <c r="K20" i="13"/>
  <c r="P20" i="13" s="1"/>
  <c r="J20" i="13"/>
  <c r="M20" i="13" s="1"/>
  <c r="D20" i="13"/>
  <c r="F20" i="13" s="1"/>
  <c r="K19" i="13"/>
  <c r="P19" i="13" s="1"/>
  <c r="D19" i="13"/>
  <c r="F19" i="13" s="1"/>
  <c r="K18" i="13"/>
  <c r="P18" i="13" s="1"/>
  <c r="J18" i="13"/>
  <c r="M18" i="13" s="1"/>
  <c r="D18" i="13"/>
  <c r="F18" i="13" s="1"/>
  <c r="K17" i="13"/>
  <c r="P17" i="13" s="1"/>
  <c r="D17" i="13"/>
  <c r="F17" i="13" s="1"/>
  <c r="K16" i="13"/>
  <c r="P16" i="13" s="1"/>
  <c r="J16" i="13"/>
  <c r="M16" i="13" s="1"/>
  <c r="D16" i="13"/>
  <c r="F16" i="13" s="1"/>
  <c r="K15" i="13"/>
  <c r="P15" i="13" s="1"/>
  <c r="D15" i="13"/>
  <c r="F15" i="13" s="1"/>
  <c r="K14" i="13"/>
  <c r="P14" i="13" s="1"/>
  <c r="J14" i="13"/>
  <c r="M14" i="13" s="1"/>
  <c r="D14" i="13"/>
  <c r="F14" i="13" s="1"/>
  <c r="K13" i="13"/>
  <c r="D13" i="13"/>
  <c r="F13" i="13" s="1"/>
  <c r="D22" i="12"/>
  <c r="A19" i="12"/>
  <c r="A20" i="12" s="1"/>
  <c r="A21" i="12" s="1"/>
  <c r="A22" i="12" s="1"/>
  <c r="A24" i="12" s="1"/>
  <c r="A26" i="12" s="1"/>
  <c r="A15" i="12"/>
  <c r="A16" i="12" s="1"/>
  <c r="A17" i="12" s="1"/>
  <c r="A18" i="12" s="1"/>
  <c r="A14" i="12"/>
  <c r="A13" i="12"/>
  <c r="I262" i="11"/>
  <c r="E261" i="11"/>
  <c r="I258" i="11"/>
  <c r="I257" i="11"/>
  <c r="I256" i="11"/>
  <c r="I255" i="11"/>
  <c r="I254" i="11"/>
  <c r="I253" i="11"/>
  <c r="I252" i="11"/>
  <c r="I251" i="11"/>
  <c r="I250" i="11"/>
  <c r="I249" i="11"/>
  <c r="I248" i="11"/>
  <c r="I247" i="11"/>
  <c r="I246" i="11"/>
  <c r="I245" i="11"/>
  <c r="I242" i="11"/>
  <c r="I241" i="11"/>
  <c r="I240" i="11"/>
  <c r="I239" i="11"/>
  <c r="I238" i="11"/>
  <c r="I237" i="11"/>
  <c r="I236" i="11"/>
  <c r="I235" i="11"/>
  <c r="I234" i="11"/>
  <c r="I233" i="11"/>
  <c r="I232" i="11"/>
  <c r="I231" i="11"/>
  <c r="I230" i="11"/>
  <c r="I229" i="11"/>
  <c r="I228" i="11"/>
  <c r="I227" i="11"/>
  <c r="I226" i="11"/>
  <c r="I225" i="11"/>
  <c r="I224" i="11"/>
  <c r="I223" i="11"/>
  <c r="I222" i="11"/>
  <c r="I221" i="11"/>
  <c r="I220" i="11"/>
  <c r="I219" i="11"/>
  <c r="I218" i="11"/>
  <c r="I217" i="11"/>
  <c r="I216" i="11"/>
  <c r="I215" i="11"/>
  <c r="I214" i="11"/>
  <c r="I213" i="11"/>
  <c r="I212" i="11"/>
  <c r="I211" i="11"/>
  <c r="I210" i="11"/>
  <c r="I209" i="11"/>
  <c r="I208" i="11"/>
  <c r="I207" i="11"/>
  <c r="I206" i="11"/>
  <c r="I205" i="11"/>
  <c r="I204" i="11"/>
  <c r="S203" i="11"/>
  <c r="T203" i="11" s="1"/>
  <c r="I203" i="11"/>
  <c r="S202" i="11"/>
  <c r="T202" i="11" s="1"/>
  <c r="I202" i="11"/>
  <c r="S201" i="11"/>
  <c r="T201" i="11" s="1"/>
  <c r="I201" i="11"/>
  <c r="R200" i="11"/>
  <c r="T200" i="11" s="1"/>
  <c r="I200" i="11"/>
  <c r="S199" i="11"/>
  <c r="T199" i="11" s="1"/>
  <c r="I199" i="11"/>
  <c r="I198" i="11"/>
  <c r="I197" i="11"/>
  <c r="G196" i="11"/>
  <c r="I196" i="11" s="1"/>
  <c r="I195" i="11"/>
  <c r="L195" i="11" s="1"/>
  <c r="G195" i="11"/>
  <c r="G194" i="11"/>
  <c r="I194" i="11" s="1"/>
  <c r="N194" i="11" s="1"/>
  <c r="G193" i="11"/>
  <c r="I193" i="11" s="1"/>
  <c r="G192" i="11"/>
  <c r="I192" i="11" s="1"/>
  <c r="G191" i="11"/>
  <c r="I191" i="11" s="1"/>
  <c r="G190" i="11"/>
  <c r="I190" i="11" s="1"/>
  <c r="L190" i="11" s="1"/>
  <c r="G189" i="11"/>
  <c r="I189" i="11" s="1"/>
  <c r="L189" i="11" s="1"/>
  <c r="G188" i="11"/>
  <c r="I188" i="11" s="1"/>
  <c r="N188" i="11" s="1"/>
  <c r="I187" i="11"/>
  <c r="N186" i="11"/>
  <c r="G186" i="11"/>
  <c r="I186" i="11" s="1"/>
  <c r="G185" i="11"/>
  <c r="I185" i="11" s="1"/>
  <c r="G184" i="11"/>
  <c r="I184" i="11" s="1"/>
  <c r="G183" i="11"/>
  <c r="I183" i="11" s="1"/>
  <c r="G182" i="11"/>
  <c r="I182" i="11" s="1"/>
  <c r="G181" i="11"/>
  <c r="I181" i="11" s="1"/>
  <c r="G180" i="11"/>
  <c r="I180" i="11" s="1"/>
  <c r="L180" i="11" s="1"/>
  <c r="G179" i="11"/>
  <c r="I179" i="11" s="1"/>
  <c r="N179" i="11" s="1"/>
  <c r="I178" i="11"/>
  <c r="N178" i="11" s="1"/>
  <c r="G177" i="11"/>
  <c r="I177" i="11" s="1"/>
  <c r="N177" i="11" s="1"/>
  <c r="G176" i="11"/>
  <c r="I176" i="11" s="1"/>
  <c r="N176" i="11" s="1"/>
  <c r="G175" i="11"/>
  <c r="I175" i="11" s="1"/>
  <c r="N175" i="11" s="1"/>
  <c r="G174" i="11"/>
  <c r="I174" i="11" s="1"/>
  <c r="N174" i="11" s="1"/>
  <c r="G173" i="11"/>
  <c r="I173" i="11" s="1"/>
  <c r="G172" i="11"/>
  <c r="I172" i="11" s="1"/>
  <c r="N172" i="11" s="1"/>
  <c r="I171" i="11"/>
  <c r="G170" i="11"/>
  <c r="I170" i="11" s="1"/>
  <c r="N170" i="11" s="1"/>
  <c r="G169" i="11"/>
  <c r="I169" i="11" s="1"/>
  <c r="N169" i="11" s="1"/>
  <c r="I168" i="11"/>
  <c r="N168" i="11" s="1"/>
  <c r="G167" i="11"/>
  <c r="I167" i="11" s="1"/>
  <c r="N167" i="11" s="1"/>
  <c r="G166" i="11"/>
  <c r="I166" i="11" s="1"/>
  <c r="G165" i="11"/>
  <c r="I165" i="11" s="1"/>
  <c r="G164" i="11"/>
  <c r="I164" i="11" s="1"/>
  <c r="G163" i="11"/>
  <c r="I163" i="11" s="1"/>
  <c r="G162" i="11"/>
  <c r="I162" i="11" s="1"/>
  <c r="L162" i="11" s="1"/>
  <c r="G161" i="11"/>
  <c r="I161" i="11" s="1"/>
  <c r="L161" i="11" s="1"/>
  <c r="G160" i="11"/>
  <c r="I160" i="11" s="1"/>
  <c r="G159" i="11"/>
  <c r="I159" i="11" s="1"/>
  <c r="N159" i="11" s="1"/>
  <c r="G158" i="11"/>
  <c r="I158" i="11" s="1"/>
  <c r="L158" i="11" s="1"/>
  <c r="G157" i="11"/>
  <c r="I157" i="11" s="1"/>
  <c r="G156" i="11"/>
  <c r="I156" i="11" s="1"/>
  <c r="G155" i="11"/>
  <c r="I155" i="11" s="1"/>
  <c r="G154" i="11"/>
  <c r="I154" i="11" s="1"/>
  <c r="N154" i="11" s="1"/>
  <c r="G153" i="11"/>
  <c r="I153" i="11" s="1"/>
  <c r="L153" i="11" s="1"/>
  <c r="L152" i="11"/>
  <c r="G152" i="11"/>
  <c r="I152" i="11" s="1"/>
  <c r="G151" i="11"/>
  <c r="I151" i="11" s="1"/>
  <c r="G150" i="11"/>
  <c r="I150" i="11" s="1"/>
  <c r="G149" i="11"/>
  <c r="I149" i="11" s="1"/>
  <c r="G148" i="11"/>
  <c r="I148" i="11" s="1"/>
  <c r="G147" i="11"/>
  <c r="I147" i="11" s="1"/>
  <c r="G146" i="11"/>
  <c r="I146" i="11" s="1"/>
  <c r="G145" i="11"/>
  <c r="I145" i="11" s="1"/>
  <c r="G144" i="11"/>
  <c r="I144" i="11" s="1"/>
  <c r="G143" i="11"/>
  <c r="I143" i="11" s="1"/>
  <c r="G142" i="11"/>
  <c r="I142" i="11" s="1"/>
  <c r="G141" i="11"/>
  <c r="I141" i="11" s="1"/>
  <c r="G140" i="11"/>
  <c r="I140" i="11" s="1"/>
  <c r="L140" i="11" s="1"/>
  <c r="G139" i="11"/>
  <c r="I139" i="11" s="1"/>
  <c r="L139" i="11" s="1"/>
  <c r="G138" i="11"/>
  <c r="I138" i="11" s="1"/>
  <c r="L138" i="11" s="1"/>
  <c r="G137" i="11"/>
  <c r="I137" i="11" s="1"/>
  <c r="L137" i="11" s="1"/>
  <c r="G136" i="11"/>
  <c r="I136" i="11" s="1"/>
  <c r="L136" i="11" s="1"/>
  <c r="G135" i="11"/>
  <c r="I135" i="11" s="1"/>
  <c r="L135" i="11" s="1"/>
  <c r="G134" i="11"/>
  <c r="I134" i="11" s="1"/>
  <c r="L134" i="11" s="1"/>
  <c r="G133" i="11"/>
  <c r="I133" i="11" s="1"/>
  <c r="L133" i="11" s="1"/>
  <c r="G132" i="11"/>
  <c r="I132" i="11" s="1"/>
  <c r="L132" i="11" s="1"/>
  <c r="G131" i="11"/>
  <c r="I131" i="11" s="1"/>
  <c r="L131" i="11" s="1"/>
  <c r="G130" i="11"/>
  <c r="I130" i="11" s="1"/>
  <c r="G129" i="11"/>
  <c r="I129" i="11" s="1"/>
  <c r="G128" i="11"/>
  <c r="I128" i="11" s="1"/>
  <c r="G127" i="11"/>
  <c r="I127" i="11" s="1"/>
  <c r="G126" i="11"/>
  <c r="I126" i="11" s="1"/>
  <c r="G125" i="11"/>
  <c r="I125" i="11" s="1"/>
  <c r="L125" i="11" s="1"/>
  <c r="G124" i="11"/>
  <c r="I124" i="11" s="1"/>
  <c r="L124" i="11" s="1"/>
  <c r="G123" i="11"/>
  <c r="I123" i="11" s="1"/>
  <c r="L123" i="11" s="1"/>
  <c r="G122" i="11"/>
  <c r="I122" i="11" s="1"/>
  <c r="G121" i="11"/>
  <c r="I121" i="11" s="1"/>
  <c r="G120" i="11"/>
  <c r="I120" i="11" s="1"/>
  <c r="G118" i="11"/>
  <c r="I118" i="11" s="1"/>
  <c r="L118" i="11" s="1"/>
  <c r="G117" i="11"/>
  <c r="I117" i="11" s="1"/>
  <c r="L117" i="11" s="1"/>
  <c r="G116" i="11"/>
  <c r="I116" i="11" s="1"/>
  <c r="G115" i="11"/>
  <c r="I115" i="11" s="1"/>
  <c r="G113" i="11"/>
  <c r="H112" i="11"/>
  <c r="I112" i="11" s="1"/>
  <c r="H111" i="11"/>
  <c r="I111" i="11" s="1"/>
  <c r="H110" i="11"/>
  <c r="I110" i="11" s="1"/>
  <c r="I109" i="11"/>
  <c r="H108" i="11"/>
  <c r="I108" i="11" s="1"/>
  <c r="H107" i="11"/>
  <c r="I107" i="11" s="1"/>
  <c r="H106" i="11"/>
  <c r="I106" i="11" s="1"/>
  <c r="H105" i="11"/>
  <c r="I105" i="11" s="1"/>
  <c r="H104" i="11"/>
  <c r="I104" i="11" s="1"/>
  <c r="L104" i="11" s="1"/>
  <c r="H103" i="11"/>
  <c r="I103" i="11" s="1"/>
  <c r="L103" i="11" s="1"/>
  <c r="H102" i="11"/>
  <c r="I102" i="11" s="1"/>
  <c r="L102" i="11" s="1"/>
  <c r="I101" i="11"/>
  <c r="I99" i="11"/>
  <c r="I98" i="11"/>
  <c r="I97" i="11"/>
  <c r="I96" i="11"/>
  <c r="I95" i="11"/>
  <c r="I94" i="11"/>
  <c r="I93" i="11"/>
  <c r="I92" i="11"/>
  <c r="I91" i="11"/>
  <c r="I90" i="11"/>
  <c r="I89" i="11"/>
  <c r="I88" i="11"/>
  <c r="I87" i="11"/>
  <c r="I86" i="11"/>
  <c r="I85" i="11"/>
  <c r="I84" i="11"/>
  <c r="I83" i="11"/>
  <c r="I82" i="11"/>
  <c r="I81" i="11"/>
  <c r="J80" i="11"/>
  <c r="I80" i="11"/>
  <c r="J79" i="11"/>
  <c r="I79" i="11"/>
  <c r="J78" i="11"/>
  <c r="P78" i="11" s="1"/>
  <c r="I78" i="11"/>
  <c r="J77" i="11"/>
  <c r="I77" i="11"/>
  <c r="J76" i="11"/>
  <c r="I76" i="11"/>
  <c r="J75" i="11"/>
  <c r="I75" i="11"/>
  <c r="J74" i="11"/>
  <c r="I74" i="11"/>
  <c r="J73" i="11"/>
  <c r="P73" i="11" s="1"/>
  <c r="I73" i="11"/>
  <c r="I72" i="11"/>
  <c r="I71" i="11"/>
  <c r="I70" i="11"/>
  <c r="I69" i="11"/>
  <c r="I68" i="11"/>
  <c r="I67" i="11"/>
  <c r="I66" i="11"/>
  <c r="I65" i="11"/>
  <c r="I64" i="11"/>
  <c r="I63" i="11"/>
  <c r="I62" i="11"/>
  <c r="I61" i="11"/>
  <c r="I60" i="11"/>
  <c r="I59" i="11"/>
  <c r="I58" i="11"/>
  <c r="I57" i="11"/>
  <c r="I56" i="11"/>
  <c r="I55" i="11"/>
  <c r="I54" i="11"/>
  <c r="I53" i="11"/>
  <c r="I52" i="11"/>
  <c r="I51" i="11"/>
  <c r="I50" i="11"/>
  <c r="I49" i="11"/>
  <c r="I48" i="11"/>
  <c r="I47" i="11"/>
  <c r="I46" i="11"/>
  <c r="I45" i="11"/>
  <c r="I44" i="11"/>
  <c r="I43" i="11"/>
  <c r="I42" i="11"/>
  <c r="I41" i="11"/>
  <c r="I40" i="11"/>
  <c r="I39" i="11"/>
  <c r="I38" i="11"/>
  <c r="I37" i="11"/>
  <c r="I36" i="11"/>
  <c r="I35" i="11"/>
  <c r="I34" i="11"/>
  <c r="I33" i="11"/>
  <c r="I32" i="11"/>
  <c r="I31" i="11"/>
  <c r="I30" i="11"/>
  <c r="I29" i="11"/>
  <c r="I28" i="11"/>
  <c r="I27" i="11"/>
  <c r="I26" i="11"/>
  <c r="I25" i="11"/>
  <c r="I24" i="11"/>
  <c r="I23" i="11"/>
  <c r="I22" i="11"/>
  <c r="I21" i="11"/>
  <c r="I20" i="11"/>
  <c r="I19" i="11"/>
  <c r="I18" i="11"/>
  <c r="I17" i="11"/>
  <c r="I16" i="11"/>
  <c r="I15" i="11"/>
  <c r="I14" i="11"/>
  <c r="I13" i="11"/>
  <c r="I12" i="11"/>
  <c r="I11" i="11"/>
  <c r="I525" i="10"/>
  <c r="S504" i="10"/>
  <c r="R504" i="10"/>
  <c r="Q504" i="10"/>
  <c r="O504" i="10"/>
  <c r="H504" i="10"/>
  <c r="S503" i="10"/>
  <c r="AK503" i="10" s="1"/>
  <c r="AE503" i="10" s="1"/>
  <c r="R503" i="10"/>
  <c r="AJ503" i="10" s="1"/>
  <c r="Q503" i="10"/>
  <c r="AI503" i="10" s="1"/>
  <c r="P503" i="10"/>
  <c r="AH503" i="10" s="1"/>
  <c r="AB503" i="10" s="1"/>
  <c r="O503" i="10"/>
  <c r="AG503" i="10" s="1"/>
  <c r="S502" i="10"/>
  <c r="AK502" i="10" s="1"/>
  <c r="R502" i="10"/>
  <c r="AJ502" i="10" s="1"/>
  <c r="X502" i="10" s="1"/>
  <c r="Q502" i="10"/>
  <c r="AI502" i="10" s="1"/>
  <c r="W502" i="10" s="1"/>
  <c r="P502" i="10"/>
  <c r="AH502" i="10" s="1"/>
  <c r="O502" i="10"/>
  <c r="AG502" i="10" s="1"/>
  <c r="U502" i="10" s="1"/>
  <c r="S501" i="10"/>
  <c r="AK501" i="10" s="1"/>
  <c r="Y501" i="10" s="1"/>
  <c r="R501" i="10"/>
  <c r="AJ501" i="10" s="1"/>
  <c r="X501" i="10" s="1"/>
  <c r="Q501" i="10"/>
  <c r="AI501" i="10" s="1"/>
  <c r="W501" i="10" s="1"/>
  <c r="P501" i="10"/>
  <c r="AH501" i="10" s="1"/>
  <c r="O501" i="10"/>
  <c r="AG501" i="10" s="1"/>
  <c r="U501" i="10" s="1"/>
  <c r="J501" i="10"/>
  <c r="S500" i="10"/>
  <c r="AK500" i="10" s="1"/>
  <c r="Y500" i="10" s="1"/>
  <c r="R500" i="10"/>
  <c r="AJ500" i="10" s="1"/>
  <c r="X500" i="10" s="1"/>
  <c r="Q500" i="10"/>
  <c r="AI500" i="10" s="1"/>
  <c r="P500" i="10"/>
  <c r="AH500" i="10" s="1"/>
  <c r="V500" i="10" s="1"/>
  <c r="O500" i="10"/>
  <c r="AG500" i="10" s="1"/>
  <c r="U500" i="10" s="1"/>
  <c r="J500" i="10"/>
  <c r="S499" i="10"/>
  <c r="AK499" i="10" s="1"/>
  <c r="R499" i="10"/>
  <c r="AJ499" i="10" s="1"/>
  <c r="X499" i="10" s="1"/>
  <c r="Q499" i="10"/>
  <c r="AI499" i="10" s="1"/>
  <c r="P499" i="10"/>
  <c r="AH499" i="10" s="1"/>
  <c r="V499" i="10" s="1"/>
  <c r="O499" i="10"/>
  <c r="AG499" i="10" s="1"/>
  <c r="J499" i="10"/>
  <c r="AD499" i="10" s="1"/>
  <c r="S498" i="10"/>
  <c r="AK498" i="10" s="1"/>
  <c r="Y498" i="10" s="1"/>
  <c r="R498" i="10"/>
  <c r="AJ498" i="10" s="1"/>
  <c r="X498" i="10" s="1"/>
  <c r="Q498" i="10"/>
  <c r="AI498" i="10" s="1"/>
  <c r="W498" i="10" s="1"/>
  <c r="P498" i="10"/>
  <c r="AH498" i="10" s="1"/>
  <c r="V498" i="10" s="1"/>
  <c r="O498" i="10"/>
  <c r="AG498" i="10" s="1"/>
  <c r="U498" i="10" s="1"/>
  <c r="J498" i="10"/>
  <c r="AK497" i="10"/>
  <c r="AJ497" i="10"/>
  <c r="AI497" i="10"/>
  <c r="W497" i="10" s="1"/>
  <c r="AH497" i="10"/>
  <c r="V497" i="10" s="1"/>
  <c r="AG497" i="10"/>
  <c r="U497" i="10" s="1"/>
  <c r="X497" i="10"/>
  <c r="S497" i="10"/>
  <c r="R497" i="10"/>
  <c r="Q497" i="10"/>
  <c r="P497" i="10"/>
  <c r="O497" i="10"/>
  <c r="J497" i="10"/>
  <c r="S496" i="10"/>
  <c r="AK496" i="10" s="1"/>
  <c r="Y496" i="10" s="1"/>
  <c r="R496" i="10"/>
  <c r="AJ496" i="10" s="1"/>
  <c r="X496" i="10" s="1"/>
  <c r="Q496" i="10"/>
  <c r="AI496" i="10" s="1"/>
  <c r="W496" i="10" s="1"/>
  <c r="P496" i="10"/>
  <c r="AH496" i="10" s="1"/>
  <c r="V496" i="10" s="1"/>
  <c r="O496" i="10"/>
  <c r="AG496" i="10" s="1"/>
  <c r="U496" i="10" s="1"/>
  <c r="J496" i="10"/>
  <c r="S495" i="10"/>
  <c r="AK495" i="10" s="1"/>
  <c r="R495" i="10"/>
  <c r="AJ495" i="10" s="1"/>
  <c r="X495" i="10" s="1"/>
  <c r="Q495" i="10"/>
  <c r="AI495" i="10" s="1"/>
  <c r="P495" i="10"/>
  <c r="AH495" i="10" s="1"/>
  <c r="V495" i="10" s="1"/>
  <c r="O495" i="10"/>
  <c r="AG495" i="10" s="1"/>
  <c r="J495" i="10"/>
  <c r="S494" i="10"/>
  <c r="AK494" i="10" s="1"/>
  <c r="Y494" i="10" s="1"/>
  <c r="R494" i="10"/>
  <c r="AJ494" i="10" s="1"/>
  <c r="X494" i="10" s="1"/>
  <c r="Q494" i="10"/>
  <c r="AI494" i="10" s="1"/>
  <c r="W494" i="10" s="1"/>
  <c r="P494" i="10"/>
  <c r="AH494" i="10" s="1"/>
  <c r="V494" i="10" s="1"/>
  <c r="O494" i="10"/>
  <c r="AG494" i="10" s="1"/>
  <c r="U494" i="10" s="1"/>
  <c r="S493" i="10"/>
  <c r="AK493" i="10" s="1"/>
  <c r="R493" i="10"/>
  <c r="AJ493" i="10" s="1"/>
  <c r="X493" i="10" s="1"/>
  <c r="Q493" i="10"/>
  <c r="AI493" i="10" s="1"/>
  <c r="P493" i="10"/>
  <c r="AH493" i="10" s="1"/>
  <c r="V493" i="10" s="1"/>
  <c r="O493" i="10"/>
  <c r="AG493" i="10" s="1"/>
  <c r="J493" i="10"/>
  <c r="S492" i="10"/>
  <c r="AK492" i="10" s="1"/>
  <c r="Y492" i="10" s="1"/>
  <c r="R492" i="10"/>
  <c r="AJ492" i="10" s="1"/>
  <c r="X492" i="10" s="1"/>
  <c r="Q492" i="10"/>
  <c r="AI492" i="10" s="1"/>
  <c r="W492" i="10" s="1"/>
  <c r="P492" i="10"/>
  <c r="AH492" i="10" s="1"/>
  <c r="V492" i="10" s="1"/>
  <c r="O492" i="10"/>
  <c r="AG492" i="10" s="1"/>
  <c r="U492" i="10" s="1"/>
  <c r="J492" i="10"/>
  <c r="S491" i="10"/>
  <c r="AK491" i="10" s="1"/>
  <c r="R491" i="10"/>
  <c r="AJ491" i="10" s="1"/>
  <c r="X491" i="10" s="1"/>
  <c r="Q491" i="10"/>
  <c r="AI491" i="10" s="1"/>
  <c r="P491" i="10"/>
  <c r="AH491" i="10" s="1"/>
  <c r="V491" i="10" s="1"/>
  <c r="O491" i="10"/>
  <c r="AG491" i="10" s="1"/>
  <c r="J491" i="10"/>
  <c r="S490" i="10"/>
  <c r="AK490" i="10" s="1"/>
  <c r="Y490" i="10" s="1"/>
  <c r="R490" i="10"/>
  <c r="AJ490" i="10" s="1"/>
  <c r="X490" i="10" s="1"/>
  <c r="Q490" i="10"/>
  <c r="AI490" i="10" s="1"/>
  <c r="W490" i="10" s="1"/>
  <c r="P490" i="10"/>
  <c r="AH490" i="10" s="1"/>
  <c r="V490" i="10" s="1"/>
  <c r="O490" i="10"/>
  <c r="AG490" i="10" s="1"/>
  <c r="U490" i="10" s="1"/>
  <c r="J490" i="10"/>
  <c r="S489" i="10"/>
  <c r="AK489" i="10" s="1"/>
  <c r="R489" i="10"/>
  <c r="AJ489" i="10" s="1"/>
  <c r="X489" i="10" s="1"/>
  <c r="Q489" i="10"/>
  <c r="AI489" i="10" s="1"/>
  <c r="P489" i="10"/>
  <c r="AH489" i="10" s="1"/>
  <c r="V489" i="10" s="1"/>
  <c r="O489" i="10"/>
  <c r="AG489" i="10" s="1"/>
  <c r="J489" i="10"/>
  <c r="S488" i="10"/>
  <c r="AK488" i="10" s="1"/>
  <c r="Y488" i="10" s="1"/>
  <c r="R488" i="10"/>
  <c r="AJ488" i="10" s="1"/>
  <c r="Q488" i="10"/>
  <c r="AI488" i="10" s="1"/>
  <c r="W488" i="10" s="1"/>
  <c r="P488" i="10"/>
  <c r="AH488" i="10" s="1"/>
  <c r="V488" i="10" s="1"/>
  <c r="O488" i="10"/>
  <c r="AG488" i="10" s="1"/>
  <c r="U488" i="10" s="1"/>
  <c r="J488" i="10"/>
  <c r="S487" i="10"/>
  <c r="AK487" i="10" s="1"/>
  <c r="R487" i="10"/>
  <c r="AJ487" i="10" s="1"/>
  <c r="X487" i="10" s="1"/>
  <c r="Q487" i="10"/>
  <c r="AI487" i="10" s="1"/>
  <c r="P487" i="10"/>
  <c r="AH487" i="10" s="1"/>
  <c r="V487" i="10" s="1"/>
  <c r="O487" i="10"/>
  <c r="AG487" i="10" s="1"/>
  <c r="J487" i="10"/>
  <c r="S486" i="10"/>
  <c r="AK486" i="10" s="1"/>
  <c r="Y486" i="10" s="1"/>
  <c r="R486" i="10"/>
  <c r="AJ486" i="10" s="1"/>
  <c r="X486" i="10" s="1"/>
  <c r="Q486" i="10"/>
  <c r="AI486" i="10" s="1"/>
  <c r="W486" i="10" s="1"/>
  <c r="P486" i="10"/>
  <c r="AH486" i="10" s="1"/>
  <c r="V486" i="10" s="1"/>
  <c r="O486" i="10"/>
  <c r="AG486" i="10" s="1"/>
  <c r="U486" i="10" s="1"/>
  <c r="J486" i="10"/>
  <c r="S485" i="10"/>
  <c r="AK485" i="10" s="1"/>
  <c r="R485" i="10"/>
  <c r="AJ485" i="10" s="1"/>
  <c r="X485" i="10" s="1"/>
  <c r="Q485" i="10"/>
  <c r="AI485" i="10" s="1"/>
  <c r="P485" i="10"/>
  <c r="AH485" i="10" s="1"/>
  <c r="V485" i="10" s="1"/>
  <c r="O485" i="10"/>
  <c r="AG485" i="10" s="1"/>
  <c r="J485" i="10"/>
  <c r="S484" i="10"/>
  <c r="AK484" i="10" s="1"/>
  <c r="Y484" i="10" s="1"/>
  <c r="R484" i="10"/>
  <c r="AJ484" i="10" s="1"/>
  <c r="Q484" i="10"/>
  <c r="AI484" i="10" s="1"/>
  <c r="W484" i="10" s="1"/>
  <c r="P484" i="10"/>
  <c r="AH484" i="10" s="1"/>
  <c r="V484" i="10" s="1"/>
  <c r="O484" i="10"/>
  <c r="AG484" i="10" s="1"/>
  <c r="U484" i="10" s="1"/>
  <c r="J484" i="10"/>
  <c r="S483" i="10"/>
  <c r="AK483" i="10" s="1"/>
  <c r="R483" i="10"/>
  <c r="AJ483" i="10" s="1"/>
  <c r="X483" i="10" s="1"/>
  <c r="Q483" i="10"/>
  <c r="AI483" i="10" s="1"/>
  <c r="P483" i="10"/>
  <c r="AH483" i="10" s="1"/>
  <c r="V483" i="10" s="1"/>
  <c r="O483" i="10"/>
  <c r="AG483" i="10" s="1"/>
  <c r="U483" i="10" s="1"/>
  <c r="J483" i="10"/>
  <c r="S482" i="10"/>
  <c r="AK482" i="10" s="1"/>
  <c r="Y482" i="10" s="1"/>
  <c r="R482" i="10"/>
  <c r="AJ482" i="10" s="1"/>
  <c r="X482" i="10" s="1"/>
  <c r="Q482" i="10"/>
  <c r="AI482" i="10" s="1"/>
  <c r="W482" i="10" s="1"/>
  <c r="P482" i="10"/>
  <c r="AH482" i="10" s="1"/>
  <c r="V482" i="10" s="1"/>
  <c r="O482" i="10"/>
  <c r="AG482" i="10" s="1"/>
  <c r="U482" i="10" s="1"/>
  <c r="J482" i="10"/>
  <c r="S481" i="10"/>
  <c r="AK481" i="10" s="1"/>
  <c r="R481" i="10"/>
  <c r="AJ481" i="10" s="1"/>
  <c r="X481" i="10" s="1"/>
  <c r="Q481" i="10"/>
  <c r="AI481" i="10" s="1"/>
  <c r="W481" i="10" s="1"/>
  <c r="P481" i="10"/>
  <c r="AH481" i="10" s="1"/>
  <c r="V481" i="10" s="1"/>
  <c r="O481" i="10"/>
  <c r="AG481" i="10" s="1"/>
  <c r="J481" i="10"/>
  <c r="S480" i="10"/>
  <c r="AK480" i="10" s="1"/>
  <c r="Y480" i="10" s="1"/>
  <c r="R480" i="10"/>
  <c r="AJ480" i="10" s="1"/>
  <c r="X480" i="10" s="1"/>
  <c r="Q480" i="10"/>
  <c r="AI480" i="10" s="1"/>
  <c r="W480" i="10" s="1"/>
  <c r="P480" i="10"/>
  <c r="AH480" i="10" s="1"/>
  <c r="V480" i="10" s="1"/>
  <c r="O480" i="10"/>
  <c r="AG480" i="10" s="1"/>
  <c r="U480" i="10" s="1"/>
  <c r="J480" i="10"/>
  <c r="S479" i="10"/>
  <c r="AK479" i="10" s="1"/>
  <c r="Y479" i="10" s="1"/>
  <c r="R479" i="10"/>
  <c r="AJ479" i="10" s="1"/>
  <c r="X479" i="10" s="1"/>
  <c r="Q479" i="10"/>
  <c r="AI479" i="10" s="1"/>
  <c r="W479" i="10" s="1"/>
  <c r="P479" i="10"/>
  <c r="AH479" i="10" s="1"/>
  <c r="V479" i="10" s="1"/>
  <c r="O479" i="10"/>
  <c r="AG479" i="10" s="1"/>
  <c r="U479" i="10" s="1"/>
  <c r="J479" i="10"/>
  <c r="S478" i="10"/>
  <c r="AK478" i="10" s="1"/>
  <c r="Y478" i="10" s="1"/>
  <c r="R478" i="10"/>
  <c r="AJ478" i="10" s="1"/>
  <c r="X478" i="10" s="1"/>
  <c r="Q478" i="10"/>
  <c r="AI478" i="10" s="1"/>
  <c r="W478" i="10" s="1"/>
  <c r="P478" i="10"/>
  <c r="AH478" i="10" s="1"/>
  <c r="V478" i="10" s="1"/>
  <c r="O478" i="10"/>
  <c r="AG478" i="10" s="1"/>
  <c r="U478" i="10" s="1"/>
  <c r="J478" i="10"/>
  <c r="S477" i="10"/>
  <c r="AK477" i="10" s="1"/>
  <c r="Y477" i="10" s="1"/>
  <c r="R477" i="10"/>
  <c r="AJ477" i="10" s="1"/>
  <c r="X477" i="10" s="1"/>
  <c r="Q477" i="10"/>
  <c r="AI477" i="10" s="1"/>
  <c r="P477" i="10"/>
  <c r="AH477" i="10" s="1"/>
  <c r="V477" i="10" s="1"/>
  <c r="O477" i="10"/>
  <c r="AG477" i="10" s="1"/>
  <c r="U477" i="10" s="1"/>
  <c r="J477" i="10"/>
  <c r="S476" i="10"/>
  <c r="AK476" i="10" s="1"/>
  <c r="Y476" i="10" s="1"/>
  <c r="R476" i="10"/>
  <c r="AJ476" i="10" s="1"/>
  <c r="X476" i="10" s="1"/>
  <c r="Q476" i="10"/>
  <c r="AI476" i="10" s="1"/>
  <c r="W476" i="10" s="1"/>
  <c r="P476" i="10"/>
  <c r="AH476" i="10" s="1"/>
  <c r="V476" i="10" s="1"/>
  <c r="O476" i="10"/>
  <c r="AG476" i="10" s="1"/>
  <c r="U476" i="10" s="1"/>
  <c r="J476" i="10"/>
  <c r="S475" i="10"/>
  <c r="AK475" i="10" s="1"/>
  <c r="Y475" i="10" s="1"/>
  <c r="R475" i="10"/>
  <c r="AJ475" i="10" s="1"/>
  <c r="X475" i="10" s="1"/>
  <c r="Q475" i="10"/>
  <c r="AI475" i="10" s="1"/>
  <c r="W475" i="10" s="1"/>
  <c r="P475" i="10"/>
  <c r="AH475" i="10" s="1"/>
  <c r="V475" i="10" s="1"/>
  <c r="O475" i="10"/>
  <c r="AG475" i="10" s="1"/>
  <c r="U475" i="10" s="1"/>
  <c r="J475" i="10"/>
  <c r="S474" i="10"/>
  <c r="AK474" i="10" s="1"/>
  <c r="Y474" i="10" s="1"/>
  <c r="R474" i="10"/>
  <c r="AJ474" i="10" s="1"/>
  <c r="X474" i="10" s="1"/>
  <c r="Q474" i="10"/>
  <c r="AI474" i="10" s="1"/>
  <c r="W474" i="10" s="1"/>
  <c r="P474" i="10"/>
  <c r="AH474" i="10" s="1"/>
  <c r="V474" i="10" s="1"/>
  <c r="O474" i="10"/>
  <c r="AG474" i="10" s="1"/>
  <c r="U474" i="10" s="1"/>
  <c r="J474" i="10"/>
  <c r="S473" i="10"/>
  <c r="AK473" i="10" s="1"/>
  <c r="Y473" i="10" s="1"/>
  <c r="R473" i="10"/>
  <c r="AJ473" i="10" s="1"/>
  <c r="X473" i="10" s="1"/>
  <c r="Q473" i="10"/>
  <c r="AI473" i="10" s="1"/>
  <c r="W473" i="10" s="1"/>
  <c r="P473" i="10"/>
  <c r="AH473" i="10" s="1"/>
  <c r="V473" i="10" s="1"/>
  <c r="O473" i="10"/>
  <c r="AG473" i="10" s="1"/>
  <c r="U473" i="10" s="1"/>
  <c r="J473" i="10"/>
  <c r="S472" i="10"/>
  <c r="AK472" i="10" s="1"/>
  <c r="Y472" i="10" s="1"/>
  <c r="R472" i="10"/>
  <c r="AJ472" i="10" s="1"/>
  <c r="X472" i="10" s="1"/>
  <c r="Q472" i="10"/>
  <c r="AI472" i="10" s="1"/>
  <c r="W472" i="10" s="1"/>
  <c r="P472" i="10"/>
  <c r="AH472" i="10" s="1"/>
  <c r="V472" i="10" s="1"/>
  <c r="O472" i="10"/>
  <c r="AG472" i="10" s="1"/>
  <c r="U472" i="10" s="1"/>
  <c r="J472" i="10"/>
  <c r="S471" i="10"/>
  <c r="AK471" i="10" s="1"/>
  <c r="Y471" i="10" s="1"/>
  <c r="R471" i="10"/>
  <c r="AJ471" i="10" s="1"/>
  <c r="X471" i="10" s="1"/>
  <c r="Q471" i="10"/>
  <c r="AI471" i="10" s="1"/>
  <c r="W471" i="10" s="1"/>
  <c r="P471" i="10"/>
  <c r="AH471" i="10" s="1"/>
  <c r="V471" i="10" s="1"/>
  <c r="O471" i="10"/>
  <c r="AG471" i="10" s="1"/>
  <c r="U471" i="10" s="1"/>
  <c r="J471" i="10"/>
  <c r="S470" i="10"/>
  <c r="AK470" i="10" s="1"/>
  <c r="Y470" i="10" s="1"/>
  <c r="R470" i="10"/>
  <c r="AJ470" i="10" s="1"/>
  <c r="X470" i="10" s="1"/>
  <c r="Q470" i="10"/>
  <c r="AI470" i="10" s="1"/>
  <c r="W470" i="10" s="1"/>
  <c r="P470" i="10"/>
  <c r="AH470" i="10" s="1"/>
  <c r="V470" i="10" s="1"/>
  <c r="O470" i="10"/>
  <c r="AG470" i="10" s="1"/>
  <c r="U470" i="10" s="1"/>
  <c r="J470" i="10"/>
  <c r="S469" i="10"/>
  <c r="AK469" i="10" s="1"/>
  <c r="R469" i="10"/>
  <c r="AJ469" i="10" s="1"/>
  <c r="Q469" i="10"/>
  <c r="AI469" i="10" s="1"/>
  <c r="W469" i="10" s="1"/>
  <c r="P469" i="10"/>
  <c r="AH469" i="10" s="1"/>
  <c r="V469" i="10" s="1"/>
  <c r="O469" i="10"/>
  <c r="AG469" i="10" s="1"/>
  <c r="J469" i="10"/>
  <c r="S468" i="10"/>
  <c r="AK468" i="10" s="1"/>
  <c r="R468" i="10"/>
  <c r="AJ468" i="10" s="1"/>
  <c r="Q468" i="10"/>
  <c r="AI468" i="10" s="1"/>
  <c r="P468" i="10"/>
  <c r="AH468" i="10" s="1"/>
  <c r="AB468" i="10" s="1"/>
  <c r="O468" i="10"/>
  <c r="AG468" i="10" s="1"/>
  <c r="AK467" i="10"/>
  <c r="AE467" i="10" s="1"/>
  <c r="AJ467" i="10"/>
  <c r="X467" i="10" s="1"/>
  <c r="AI467" i="10"/>
  <c r="AH467" i="10"/>
  <c r="AB467" i="10" s="1"/>
  <c r="AG467" i="10"/>
  <c r="AA467" i="10" s="1"/>
  <c r="AD467" i="10"/>
  <c r="AE466" i="10"/>
  <c r="AD466" i="10"/>
  <c r="AC466" i="10"/>
  <c r="AB466" i="10"/>
  <c r="AA466" i="10"/>
  <c r="Y466" i="10"/>
  <c r="X466" i="10"/>
  <c r="W466" i="10"/>
  <c r="V466" i="10"/>
  <c r="U466" i="10"/>
  <c r="S466" i="10"/>
  <c r="R466" i="10"/>
  <c r="Q466" i="10"/>
  <c r="P466" i="10"/>
  <c r="O466" i="10"/>
  <c r="S465" i="10"/>
  <c r="AK465" i="10" s="1"/>
  <c r="R465" i="10"/>
  <c r="AJ465" i="10" s="1"/>
  <c r="AD465" i="10" s="1"/>
  <c r="Q465" i="10"/>
  <c r="AI465" i="10" s="1"/>
  <c r="P465" i="10"/>
  <c r="AH465" i="10" s="1"/>
  <c r="O465" i="10"/>
  <c r="AG465" i="10" s="1"/>
  <c r="S464" i="10"/>
  <c r="AK464" i="10" s="1"/>
  <c r="R464" i="10"/>
  <c r="AJ464" i="10" s="1"/>
  <c r="AD464" i="10" s="1"/>
  <c r="Q464" i="10"/>
  <c r="AI464" i="10" s="1"/>
  <c r="P464" i="10"/>
  <c r="AH464" i="10" s="1"/>
  <c r="O464" i="10"/>
  <c r="AG464" i="10" s="1"/>
  <c r="AK463" i="10"/>
  <c r="AE463" i="10" s="1"/>
  <c r="AJ463" i="10"/>
  <c r="AI463" i="10"/>
  <c r="AC463" i="10" s="1"/>
  <c r="AH463" i="10"/>
  <c r="AB463" i="10" s="1"/>
  <c r="AG463" i="10"/>
  <c r="S463" i="10"/>
  <c r="R463" i="10"/>
  <c r="Q463" i="10"/>
  <c r="P463" i="10"/>
  <c r="O463" i="10"/>
  <c r="S462" i="10"/>
  <c r="AK462" i="10" s="1"/>
  <c r="R462" i="10"/>
  <c r="AJ462" i="10" s="1"/>
  <c r="Q462" i="10"/>
  <c r="AI462" i="10" s="1"/>
  <c r="AC462" i="10" s="1"/>
  <c r="P462" i="10"/>
  <c r="AH462" i="10" s="1"/>
  <c r="O462" i="10"/>
  <c r="AG462" i="10" s="1"/>
  <c r="S461" i="10"/>
  <c r="AK461" i="10" s="1"/>
  <c r="R461" i="10"/>
  <c r="AJ461" i="10" s="1"/>
  <c r="Q461" i="10"/>
  <c r="AI461" i="10" s="1"/>
  <c r="AC461" i="10" s="1"/>
  <c r="P461" i="10"/>
  <c r="AH461" i="10" s="1"/>
  <c r="O461" i="10"/>
  <c r="AG461" i="10" s="1"/>
  <c r="S460" i="10"/>
  <c r="AK460" i="10" s="1"/>
  <c r="R460" i="10"/>
  <c r="AJ460" i="10" s="1"/>
  <c r="Q460" i="10"/>
  <c r="AI460" i="10" s="1"/>
  <c r="AC460" i="10" s="1"/>
  <c r="P460" i="10"/>
  <c r="AH460" i="10" s="1"/>
  <c r="O460" i="10"/>
  <c r="AG460" i="10" s="1"/>
  <c r="S459" i="10"/>
  <c r="AK459" i="10" s="1"/>
  <c r="R459" i="10"/>
  <c r="AJ459" i="10" s="1"/>
  <c r="Q459" i="10"/>
  <c r="AI459" i="10" s="1"/>
  <c r="AC459" i="10" s="1"/>
  <c r="P459" i="10"/>
  <c r="AH459" i="10" s="1"/>
  <c r="O459" i="10"/>
  <c r="AG459" i="10" s="1"/>
  <c r="S458" i="10"/>
  <c r="AK458" i="10" s="1"/>
  <c r="R458" i="10"/>
  <c r="AJ458" i="10" s="1"/>
  <c r="Q458" i="10"/>
  <c r="AI458" i="10" s="1"/>
  <c r="AC458" i="10" s="1"/>
  <c r="P458" i="10"/>
  <c r="AH458" i="10" s="1"/>
  <c r="O458" i="10"/>
  <c r="AG458" i="10" s="1"/>
  <c r="AK457" i="10"/>
  <c r="Y457" i="10" s="1"/>
  <c r="AJ457" i="10"/>
  <c r="AI457" i="10"/>
  <c r="AC457" i="10" s="1"/>
  <c r="AH457" i="10"/>
  <c r="AG457" i="10"/>
  <c r="U457" i="10" s="1"/>
  <c r="S456" i="10"/>
  <c r="AK456" i="10" s="1"/>
  <c r="R456" i="10"/>
  <c r="AJ456" i="10" s="1"/>
  <c r="Q456" i="10"/>
  <c r="AI456" i="10" s="1"/>
  <c r="P456" i="10"/>
  <c r="AH456" i="10" s="1"/>
  <c r="AB456" i="10" s="1"/>
  <c r="O456" i="10"/>
  <c r="AG456" i="10" s="1"/>
  <c r="S455" i="10"/>
  <c r="AK455" i="10" s="1"/>
  <c r="R455" i="10"/>
  <c r="AJ455" i="10" s="1"/>
  <c r="Q455" i="10"/>
  <c r="AI455" i="10" s="1"/>
  <c r="P455" i="10"/>
  <c r="AH455" i="10" s="1"/>
  <c r="AB455" i="10" s="1"/>
  <c r="O455" i="10"/>
  <c r="AG455" i="10" s="1"/>
  <c r="S454" i="10"/>
  <c r="AK454" i="10" s="1"/>
  <c r="R454" i="10"/>
  <c r="AJ454" i="10" s="1"/>
  <c r="Q454" i="10"/>
  <c r="AI454" i="10" s="1"/>
  <c r="P454" i="10"/>
  <c r="AH454" i="10" s="1"/>
  <c r="AB454" i="10" s="1"/>
  <c r="O454" i="10"/>
  <c r="AG454" i="10" s="1"/>
  <c r="S453" i="10"/>
  <c r="AK453" i="10" s="1"/>
  <c r="R453" i="10"/>
  <c r="AJ453" i="10" s="1"/>
  <c r="Q453" i="10"/>
  <c r="AI453" i="10" s="1"/>
  <c r="P453" i="10"/>
  <c r="AH453" i="10" s="1"/>
  <c r="AB453" i="10" s="1"/>
  <c r="O453" i="10"/>
  <c r="AG453" i="10" s="1"/>
  <c r="S452" i="10"/>
  <c r="AK452" i="10" s="1"/>
  <c r="R452" i="10"/>
  <c r="AJ452" i="10" s="1"/>
  <c r="Q452" i="10"/>
  <c r="AI452" i="10" s="1"/>
  <c r="P452" i="10"/>
  <c r="AH452" i="10" s="1"/>
  <c r="AB452" i="10" s="1"/>
  <c r="O452" i="10"/>
  <c r="AG452" i="10" s="1"/>
  <c r="AK451" i="10"/>
  <c r="AJ451" i="10"/>
  <c r="X451" i="10" s="1"/>
  <c r="AI451" i="10"/>
  <c r="W451" i="10" s="1"/>
  <c r="AH451" i="10"/>
  <c r="AB451" i="10" s="1"/>
  <c r="AG451" i="10"/>
  <c r="S451" i="10"/>
  <c r="R451" i="10"/>
  <c r="Q451" i="10"/>
  <c r="P451" i="10"/>
  <c r="O451" i="10"/>
  <c r="S450" i="10"/>
  <c r="AK450" i="10" s="1"/>
  <c r="R450" i="10"/>
  <c r="AJ450" i="10" s="1"/>
  <c r="Q450" i="10"/>
  <c r="AI450" i="10" s="1"/>
  <c r="P450" i="10"/>
  <c r="AH450" i="10" s="1"/>
  <c r="AB450" i="10" s="1"/>
  <c r="O450" i="10"/>
  <c r="AG450" i="10" s="1"/>
  <c r="S449" i="10"/>
  <c r="AK449" i="10" s="1"/>
  <c r="R449" i="10"/>
  <c r="AJ449" i="10" s="1"/>
  <c r="Q449" i="10"/>
  <c r="AI449" i="10" s="1"/>
  <c r="P449" i="10"/>
  <c r="AH449" i="10" s="1"/>
  <c r="AB449" i="10" s="1"/>
  <c r="O449" i="10"/>
  <c r="AG449" i="10" s="1"/>
  <c r="S448" i="10"/>
  <c r="AK448" i="10" s="1"/>
  <c r="R448" i="10"/>
  <c r="AJ448" i="10" s="1"/>
  <c r="Q448" i="10"/>
  <c r="AI448" i="10" s="1"/>
  <c r="P448" i="10"/>
  <c r="AH448" i="10" s="1"/>
  <c r="AB448" i="10" s="1"/>
  <c r="O448" i="10"/>
  <c r="AG448" i="10" s="1"/>
  <c r="S447" i="10"/>
  <c r="AK447" i="10" s="1"/>
  <c r="R447" i="10"/>
  <c r="AJ447" i="10" s="1"/>
  <c r="Q447" i="10"/>
  <c r="AI447" i="10" s="1"/>
  <c r="P447" i="10"/>
  <c r="AH447" i="10" s="1"/>
  <c r="AB447" i="10" s="1"/>
  <c r="O447" i="10"/>
  <c r="AG447" i="10" s="1"/>
  <c r="S446" i="10"/>
  <c r="AK446" i="10" s="1"/>
  <c r="R446" i="10"/>
  <c r="AJ446" i="10" s="1"/>
  <c r="Q446" i="10"/>
  <c r="AI446" i="10" s="1"/>
  <c r="P446" i="10"/>
  <c r="AH446" i="10" s="1"/>
  <c r="AB446" i="10" s="1"/>
  <c r="O446" i="10"/>
  <c r="AG446" i="10" s="1"/>
  <c r="S445" i="10"/>
  <c r="AK445" i="10" s="1"/>
  <c r="R445" i="10"/>
  <c r="AJ445" i="10" s="1"/>
  <c r="Q445" i="10"/>
  <c r="AI445" i="10" s="1"/>
  <c r="P445" i="10"/>
  <c r="AH445" i="10" s="1"/>
  <c r="AB445" i="10" s="1"/>
  <c r="O445" i="10"/>
  <c r="AG445" i="10" s="1"/>
  <c r="AE444" i="10"/>
  <c r="AD444" i="10"/>
  <c r="AC444" i="10"/>
  <c r="AB444" i="10"/>
  <c r="AA444" i="10"/>
  <c r="Y444" i="10"/>
  <c r="X444" i="10"/>
  <c r="W444" i="10"/>
  <c r="V444" i="10"/>
  <c r="U444" i="10"/>
  <c r="S444" i="10"/>
  <c r="R444" i="10"/>
  <c r="Q444" i="10"/>
  <c r="P444" i="10"/>
  <c r="O444" i="10"/>
  <c r="S443" i="10"/>
  <c r="AK443" i="10" s="1"/>
  <c r="AE443" i="10" s="1"/>
  <c r="R443" i="10"/>
  <c r="AJ443" i="10" s="1"/>
  <c r="Q443" i="10"/>
  <c r="AI443" i="10" s="1"/>
  <c r="P443" i="10"/>
  <c r="AH443" i="10" s="1"/>
  <c r="O443" i="10"/>
  <c r="AG443" i="10" s="1"/>
  <c r="AA443" i="10" s="1"/>
  <c r="S442" i="10"/>
  <c r="AK442" i="10" s="1"/>
  <c r="AE442" i="10" s="1"/>
  <c r="R442" i="10"/>
  <c r="AJ442" i="10" s="1"/>
  <c r="Q442" i="10"/>
  <c r="AI442" i="10" s="1"/>
  <c r="P442" i="10"/>
  <c r="AH442" i="10" s="1"/>
  <c r="V442" i="10" s="1"/>
  <c r="O442" i="10"/>
  <c r="AG442" i="10" s="1"/>
  <c r="AA442" i="10" s="1"/>
  <c r="S441" i="10"/>
  <c r="AK441" i="10" s="1"/>
  <c r="AE441" i="10" s="1"/>
  <c r="R441" i="10"/>
  <c r="AJ441" i="10" s="1"/>
  <c r="Q441" i="10"/>
  <c r="AI441" i="10" s="1"/>
  <c r="P441" i="10"/>
  <c r="AH441" i="10" s="1"/>
  <c r="O441" i="10"/>
  <c r="AG441" i="10" s="1"/>
  <c r="AA441" i="10" s="1"/>
  <c r="AK440" i="10"/>
  <c r="AE440" i="10" s="1"/>
  <c r="AJ440" i="10"/>
  <c r="X440" i="10" s="1"/>
  <c r="AI440" i="10"/>
  <c r="AC440" i="10" s="1"/>
  <c r="AH440" i="10"/>
  <c r="V440" i="10" s="1"/>
  <c r="AG440" i="10"/>
  <c r="AA440" i="10" s="1"/>
  <c r="S440" i="10"/>
  <c r="R440" i="10"/>
  <c r="Q440" i="10"/>
  <c r="P440" i="10"/>
  <c r="O440" i="10"/>
  <c r="S439" i="10"/>
  <c r="AK439" i="10" s="1"/>
  <c r="AE439" i="10" s="1"/>
  <c r="R439" i="10"/>
  <c r="AJ439" i="10" s="1"/>
  <c r="Q439" i="10"/>
  <c r="AI439" i="10" s="1"/>
  <c r="P439" i="10"/>
  <c r="AH439" i="10" s="1"/>
  <c r="O439" i="10"/>
  <c r="AG439" i="10" s="1"/>
  <c r="AA439" i="10" s="1"/>
  <c r="S438" i="10"/>
  <c r="AK438" i="10" s="1"/>
  <c r="AE438" i="10" s="1"/>
  <c r="R438" i="10"/>
  <c r="AJ438" i="10" s="1"/>
  <c r="Q438" i="10"/>
  <c r="AI438" i="10" s="1"/>
  <c r="P438" i="10"/>
  <c r="AH438" i="10" s="1"/>
  <c r="O438" i="10"/>
  <c r="AG438" i="10" s="1"/>
  <c r="AA438" i="10" s="1"/>
  <c r="S437" i="10"/>
  <c r="AK437" i="10" s="1"/>
  <c r="AE437" i="10" s="1"/>
  <c r="R437" i="10"/>
  <c r="AJ437" i="10" s="1"/>
  <c r="Q437" i="10"/>
  <c r="AI437" i="10" s="1"/>
  <c r="P437" i="10"/>
  <c r="AH437" i="10" s="1"/>
  <c r="O437" i="10"/>
  <c r="AG437" i="10" s="1"/>
  <c r="AA437" i="10" s="1"/>
  <c r="S436" i="10"/>
  <c r="AK436" i="10" s="1"/>
  <c r="AE436" i="10" s="1"/>
  <c r="R436" i="10"/>
  <c r="AJ436" i="10" s="1"/>
  <c r="Q436" i="10"/>
  <c r="AI436" i="10" s="1"/>
  <c r="AC436" i="10" s="1"/>
  <c r="P436" i="10"/>
  <c r="AH436" i="10" s="1"/>
  <c r="O436" i="10"/>
  <c r="AG436" i="10" s="1"/>
  <c r="AA436" i="10" s="1"/>
  <c r="S435" i="10"/>
  <c r="AK435" i="10" s="1"/>
  <c r="R435" i="10"/>
  <c r="AJ435" i="10" s="1"/>
  <c r="Q435" i="10"/>
  <c r="AI435" i="10" s="1"/>
  <c r="AC435" i="10" s="1"/>
  <c r="P435" i="10"/>
  <c r="AH435" i="10" s="1"/>
  <c r="V435" i="10" s="1"/>
  <c r="O435" i="10"/>
  <c r="AG435" i="10" s="1"/>
  <c r="S434" i="10"/>
  <c r="AK434" i="10" s="1"/>
  <c r="R434" i="10"/>
  <c r="AJ434" i="10" s="1"/>
  <c r="Q434" i="10"/>
  <c r="AI434" i="10" s="1"/>
  <c r="P434" i="10"/>
  <c r="AH434" i="10" s="1"/>
  <c r="V434" i="10" s="1"/>
  <c r="O434" i="10"/>
  <c r="AG434" i="10" s="1"/>
  <c r="S433" i="10"/>
  <c r="AK433" i="10" s="1"/>
  <c r="R433" i="10"/>
  <c r="AJ433" i="10" s="1"/>
  <c r="Q433" i="10"/>
  <c r="AI433" i="10" s="1"/>
  <c r="P433" i="10"/>
  <c r="AH433" i="10" s="1"/>
  <c r="O433" i="10"/>
  <c r="AG433" i="10" s="1"/>
  <c r="S432" i="10"/>
  <c r="AK432" i="10" s="1"/>
  <c r="R432" i="10"/>
  <c r="AJ432" i="10" s="1"/>
  <c r="Q432" i="10"/>
  <c r="AI432" i="10" s="1"/>
  <c r="AC432" i="10" s="1"/>
  <c r="P432" i="10"/>
  <c r="AH432" i="10" s="1"/>
  <c r="V432" i="10" s="1"/>
  <c r="O432" i="10"/>
  <c r="AG432" i="10" s="1"/>
  <c r="AK431" i="10"/>
  <c r="AJ431" i="10"/>
  <c r="X431" i="10" s="1"/>
  <c r="AI431" i="10"/>
  <c r="W431" i="10" s="1"/>
  <c r="AH431" i="10"/>
  <c r="V431" i="10" s="1"/>
  <c r="AG431" i="10"/>
  <c r="AA431" i="10" s="1"/>
  <c r="S431" i="10"/>
  <c r="R431" i="10"/>
  <c r="Q431" i="10"/>
  <c r="P431" i="10"/>
  <c r="O431" i="10"/>
  <c r="AE430" i="10"/>
  <c r="AD430" i="10"/>
  <c r="AC430" i="10"/>
  <c r="AB430" i="10"/>
  <c r="AA430" i="10"/>
  <c r="Y430" i="10"/>
  <c r="X430" i="10"/>
  <c r="W430" i="10"/>
  <c r="V430" i="10"/>
  <c r="U430" i="10"/>
  <c r="S430" i="10"/>
  <c r="R430" i="10"/>
  <c r="Q430" i="10"/>
  <c r="P430" i="10"/>
  <c r="O430" i="10"/>
  <c r="AE429" i="10"/>
  <c r="AD429" i="10"/>
  <c r="AC429" i="10"/>
  <c r="AB429" i="10"/>
  <c r="AA429" i="10"/>
  <c r="Y429" i="10"/>
  <c r="X429" i="10"/>
  <c r="W429" i="10"/>
  <c r="V429" i="10"/>
  <c r="U429" i="10"/>
  <c r="S429" i="10"/>
  <c r="R429" i="10"/>
  <c r="Q429" i="10"/>
  <c r="P429" i="10"/>
  <c r="O429" i="10"/>
  <c r="S428" i="10"/>
  <c r="AK428" i="10" s="1"/>
  <c r="R428" i="10"/>
  <c r="AJ428" i="10" s="1"/>
  <c r="X428" i="10" s="1"/>
  <c r="Q428" i="10"/>
  <c r="AI428" i="10" s="1"/>
  <c r="P428" i="10"/>
  <c r="AH428" i="10" s="1"/>
  <c r="O428" i="10"/>
  <c r="AG428" i="10" s="1"/>
  <c r="S427" i="10"/>
  <c r="AK427" i="10" s="1"/>
  <c r="R427" i="10"/>
  <c r="AJ427" i="10" s="1"/>
  <c r="Q427" i="10"/>
  <c r="AI427" i="10" s="1"/>
  <c r="P427" i="10"/>
  <c r="AH427" i="10" s="1"/>
  <c r="O427" i="10"/>
  <c r="AG427" i="10" s="1"/>
  <c r="S426" i="10"/>
  <c r="AK426" i="10" s="1"/>
  <c r="R426" i="10"/>
  <c r="AJ426" i="10" s="1"/>
  <c r="Q426" i="10"/>
  <c r="AI426" i="10" s="1"/>
  <c r="P426" i="10"/>
  <c r="AH426" i="10" s="1"/>
  <c r="O426" i="10"/>
  <c r="AG426" i="10" s="1"/>
  <c r="S425" i="10"/>
  <c r="AK425" i="10" s="1"/>
  <c r="R425" i="10"/>
  <c r="AJ425" i="10" s="1"/>
  <c r="Q425" i="10"/>
  <c r="AI425" i="10" s="1"/>
  <c r="P425" i="10"/>
  <c r="AH425" i="10" s="1"/>
  <c r="O425" i="10"/>
  <c r="AG425" i="10" s="1"/>
  <c r="S424" i="10"/>
  <c r="AK424" i="10" s="1"/>
  <c r="R424" i="10"/>
  <c r="AJ424" i="10" s="1"/>
  <c r="Q424" i="10"/>
  <c r="AI424" i="10" s="1"/>
  <c r="P424" i="10"/>
  <c r="AH424" i="10" s="1"/>
  <c r="O424" i="10"/>
  <c r="AG424" i="10" s="1"/>
  <c r="AK423" i="10"/>
  <c r="AE423" i="10" s="1"/>
  <c r="AJ423" i="10"/>
  <c r="AD423" i="10" s="1"/>
  <c r="AI423" i="10"/>
  <c r="AH423" i="10"/>
  <c r="V423" i="10" s="1"/>
  <c r="AG423" i="10"/>
  <c r="AA423" i="10" s="1"/>
  <c r="S423" i="10"/>
  <c r="R423" i="10"/>
  <c r="Q423" i="10"/>
  <c r="P423" i="10"/>
  <c r="O423" i="10"/>
  <c r="S422" i="10"/>
  <c r="AK422" i="10" s="1"/>
  <c r="R422" i="10"/>
  <c r="AJ422" i="10" s="1"/>
  <c r="Q422" i="10"/>
  <c r="AI422" i="10" s="1"/>
  <c r="P422" i="10"/>
  <c r="AH422" i="10" s="1"/>
  <c r="O422" i="10"/>
  <c r="AG422" i="10" s="1"/>
  <c r="S421" i="10"/>
  <c r="AK421" i="10" s="1"/>
  <c r="AE421" i="10" s="1"/>
  <c r="R421" i="10"/>
  <c r="AJ421" i="10" s="1"/>
  <c r="Q421" i="10"/>
  <c r="AI421" i="10" s="1"/>
  <c r="P421" i="10"/>
  <c r="AH421" i="10" s="1"/>
  <c r="O421" i="10"/>
  <c r="AG421" i="10" s="1"/>
  <c r="AA421" i="10" s="1"/>
  <c r="AK420" i="10"/>
  <c r="AJ420" i="10"/>
  <c r="X420" i="10" s="1"/>
  <c r="AI420" i="10"/>
  <c r="AH420" i="10"/>
  <c r="V420" i="10" s="1"/>
  <c r="AG420" i="10"/>
  <c r="S420" i="10"/>
  <c r="R420" i="10"/>
  <c r="Q420" i="10"/>
  <c r="P420" i="10"/>
  <c r="O420" i="10"/>
  <c r="S419" i="10"/>
  <c r="AK419" i="10" s="1"/>
  <c r="AE419" i="10" s="1"/>
  <c r="R419" i="10"/>
  <c r="AJ419" i="10" s="1"/>
  <c r="X419" i="10" s="1"/>
  <c r="Q419" i="10"/>
  <c r="AI419" i="10" s="1"/>
  <c r="P419" i="10"/>
  <c r="AH419" i="10" s="1"/>
  <c r="O419" i="10"/>
  <c r="AG419" i="10" s="1"/>
  <c r="AA419" i="10" s="1"/>
  <c r="S418" i="10"/>
  <c r="AK418" i="10" s="1"/>
  <c r="AE418" i="10" s="1"/>
  <c r="R418" i="10"/>
  <c r="AJ418" i="10" s="1"/>
  <c r="X418" i="10" s="1"/>
  <c r="Q418" i="10"/>
  <c r="AI418" i="10" s="1"/>
  <c r="P418" i="10"/>
  <c r="AH418" i="10" s="1"/>
  <c r="O418" i="10"/>
  <c r="AG418" i="10" s="1"/>
  <c r="S417" i="10"/>
  <c r="AK417" i="10" s="1"/>
  <c r="R417" i="10"/>
  <c r="AJ417" i="10" s="1"/>
  <c r="X417" i="10" s="1"/>
  <c r="Q417" i="10"/>
  <c r="AI417" i="10" s="1"/>
  <c r="P417" i="10"/>
  <c r="AH417" i="10" s="1"/>
  <c r="O417" i="10"/>
  <c r="AG417" i="10" s="1"/>
  <c r="S416" i="10"/>
  <c r="AK416" i="10" s="1"/>
  <c r="AE416" i="10" s="1"/>
  <c r="R416" i="10"/>
  <c r="AJ416" i="10" s="1"/>
  <c r="X416" i="10" s="1"/>
  <c r="Q416" i="10"/>
  <c r="AI416" i="10" s="1"/>
  <c r="P416" i="10"/>
  <c r="AH416" i="10" s="1"/>
  <c r="O416" i="10"/>
  <c r="AG416" i="10" s="1"/>
  <c r="AA416" i="10" s="1"/>
  <c r="S415" i="10"/>
  <c r="AK415" i="10" s="1"/>
  <c r="AE415" i="10" s="1"/>
  <c r="R415" i="10"/>
  <c r="AJ415" i="10" s="1"/>
  <c r="X415" i="10" s="1"/>
  <c r="Q415" i="10"/>
  <c r="AI415" i="10" s="1"/>
  <c r="P415" i="10"/>
  <c r="AH415" i="10" s="1"/>
  <c r="O415" i="10"/>
  <c r="AG415" i="10" s="1"/>
  <c r="AA415" i="10" s="1"/>
  <c r="AK414" i="10"/>
  <c r="AE414" i="10" s="1"/>
  <c r="AJ414" i="10"/>
  <c r="X414" i="10" s="1"/>
  <c r="AI414" i="10"/>
  <c r="AH414" i="10"/>
  <c r="V414" i="10" s="1"/>
  <c r="AG414" i="10"/>
  <c r="AA414" i="10" s="1"/>
  <c r="AD414" i="10"/>
  <c r="S414" i="10"/>
  <c r="R414" i="10"/>
  <c r="Q414" i="10"/>
  <c r="P414" i="10"/>
  <c r="O414" i="10"/>
  <c r="S413" i="10"/>
  <c r="AK413" i="10" s="1"/>
  <c r="R413" i="10"/>
  <c r="AJ413" i="10" s="1"/>
  <c r="X413" i="10" s="1"/>
  <c r="Q413" i="10"/>
  <c r="AI413" i="10" s="1"/>
  <c r="P413" i="10"/>
  <c r="AH413" i="10" s="1"/>
  <c r="O413" i="10"/>
  <c r="AG413" i="10" s="1"/>
  <c r="AA413" i="10" s="1"/>
  <c r="AK412" i="10"/>
  <c r="AE412" i="10" s="1"/>
  <c r="AJ412" i="10"/>
  <c r="X412" i="10" s="1"/>
  <c r="AI412" i="10"/>
  <c r="AH412" i="10"/>
  <c r="AG412" i="10"/>
  <c r="AA412" i="10" s="1"/>
  <c r="S411" i="10"/>
  <c r="AK411" i="10" s="1"/>
  <c r="R411" i="10"/>
  <c r="AJ411" i="10" s="1"/>
  <c r="AD411" i="10" s="1"/>
  <c r="Q411" i="10"/>
  <c r="AI411" i="10" s="1"/>
  <c r="W411" i="10" s="1"/>
  <c r="P411" i="10"/>
  <c r="AH411" i="10" s="1"/>
  <c r="O411" i="10"/>
  <c r="AG411" i="10" s="1"/>
  <c r="S410" i="10"/>
  <c r="AK410" i="10" s="1"/>
  <c r="R410" i="10"/>
  <c r="AJ410" i="10" s="1"/>
  <c r="AD410" i="10" s="1"/>
  <c r="Q410" i="10"/>
  <c r="AI410" i="10" s="1"/>
  <c r="W410" i="10" s="1"/>
  <c r="P410" i="10"/>
  <c r="AH410" i="10" s="1"/>
  <c r="O410" i="10"/>
  <c r="AG410" i="10" s="1"/>
  <c r="S409" i="10"/>
  <c r="AK409" i="10" s="1"/>
  <c r="R409" i="10"/>
  <c r="AJ409" i="10" s="1"/>
  <c r="AD409" i="10" s="1"/>
  <c r="Q409" i="10"/>
  <c r="AI409" i="10" s="1"/>
  <c r="W409" i="10" s="1"/>
  <c r="P409" i="10"/>
  <c r="AH409" i="10" s="1"/>
  <c r="O409" i="10"/>
  <c r="AG409" i="10" s="1"/>
  <c r="AK408" i="10"/>
  <c r="Y408" i="10" s="1"/>
  <c r="AJ408" i="10"/>
  <c r="AD408" i="10" s="1"/>
  <c r="AI408" i="10"/>
  <c r="AC408" i="10" s="1"/>
  <c r="AH408" i="10"/>
  <c r="AG408" i="10"/>
  <c r="U408" i="10" s="1"/>
  <c r="S408" i="10"/>
  <c r="R408" i="10"/>
  <c r="Q408" i="10"/>
  <c r="P408" i="10"/>
  <c r="O408" i="10"/>
  <c r="AK407" i="10"/>
  <c r="AJ407" i="10"/>
  <c r="AI407" i="10"/>
  <c r="W407" i="10" s="1"/>
  <c r="AH407" i="10"/>
  <c r="AG407" i="10"/>
  <c r="S407" i="10"/>
  <c r="R407" i="10"/>
  <c r="Q407" i="10"/>
  <c r="P407" i="10"/>
  <c r="O407" i="10"/>
  <c r="AK406" i="10"/>
  <c r="Y406" i="10" s="1"/>
  <c r="AJ406" i="10"/>
  <c r="AI406" i="10"/>
  <c r="W406" i="10" s="1"/>
  <c r="AH406" i="10"/>
  <c r="AG406" i="10"/>
  <c r="U406" i="10" s="1"/>
  <c r="S406" i="10"/>
  <c r="R406" i="10"/>
  <c r="Q406" i="10"/>
  <c r="P406" i="10"/>
  <c r="O406" i="10"/>
  <c r="AK405" i="10"/>
  <c r="AE405" i="10" s="1"/>
  <c r="AJ405" i="10"/>
  <c r="AD405" i="10" s="1"/>
  <c r="AI405" i="10"/>
  <c r="AH405" i="10"/>
  <c r="AG405" i="10"/>
  <c r="AA405" i="10" s="1"/>
  <c r="S405" i="10"/>
  <c r="R405" i="10"/>
  <c r="Q405" i="10"/>
  <c r="P405" i="10"/>
  <c r="O405" i="10"/>
  <c r="AK404" i="10"/>
  <c r="AE404" i="10" s="1"/>
  <c r="AJ404" i="10"/>
  <c r="AI404" i="10"/>
  <c r="AC404" i="10" s="1"/>
  <c r="AH404" i="10"/>
  <c r="AG404" i="10"/>
  <c r="AA404" i="10" s="1"/>
  <c r="S404" i="10"/>
  <c r="R404" i="10"/>
  <c r="Q404" i="10"/>
  <c r="P404" i="10"/>
  <c r="O404" i="10"/>
  <c r="S403" i="10"/>
  <c r="AK403" i="10" s="1"/>
  <c r="R403" i="10"/>
  <c r="AJ403" i="10" s="1"/>
  <c r="Q403" i="10"/>
  <c r="AI403" i="10" s="1"/>
  <c r="W403" i="10" s="1"/>
  <c r="P403" i="10"/>
  <c r="AH403" i="10" s="1"/>
  <c r="O403" i="10"/>
  <c r="AG403" i="10" s="1"/>
  <c r="AK402" i="10"/>
  <c r="AE402" i="10" s="1"/>
  <c r="AJ402" i="10"/>
  <c r="AD402" i="10" s="1"/>
  <c r="AI402" i="10"/>
  <c r="AH402" i="10"/>
  <c r="AG402" i="10"/>
  <c r="AA402" i="10" s="1"/>
  <c r="S402" i="10"/>
  <c r="R402" i="10"/>
  <c r="Q402" i="10"/>
  <c r="P402" i="10"/>
  <c r="O402" i="10"/>
  <c r="AK401" i="10"/>
  <c r="AE401" i="10" s="1"/>
  <c r="AJ401" i="10"/>
  <c r="AI401" i="10"/>
  <c r="AC401" i="10" s="1"/>
  <c r="AH401" i="10"/>
  <c r="AG401" i="10"/>
  <c r="AA401" i="10" s="1"/>
  <c r="S401" i="10"/>
  <c r="R401" i="10"/>
  <c r="Q401" i="10"/>
  <c r="P401" i="10"/>
  <c r="O401" i="10"/>
  <c r="S400" i="10"/>
  <c r="AK400" i="10" s="1"/>
  <c r="R400" i="10"/>
  <c r="AJ400" i="10" s="1"/>
  <c r="AD400" i="10" s="1"/>
  <c r="Q400" i="10"/>
  <c r="AI400" i="10" s="1"/>
  <c r="W400" i="10" s="1"/>
  <c r="P400" i="10"/>
  <c r="AH400" i="10" s="1"/>
  <c r="O400" i="10"/>
  <c r="AG400" i="10" s="1"/>
  <c r="S399" i="10"/>
  <c r="AK399" i="10" s="1"/>
  <c r="R399" i="10"/>
  <c r="AJ399" i="10" s="1"/>
  <c r="Q399" i="10"/>
  <c r="AI399" i="10" s="1"/>
  <c r="W399" i="10" s="1"/>
  <c r="P399" i="10"/>
  <c r="AH399" i="10" s="1"/>
  <c r="O399" i="10"/>
  <c r="AG399" i="10" s="1"/>
  <c r="S398" i="10"/>
  <c r="AK398" i="10" s="1"/>
  <c r="R398" i="10"/>
  <c r="AJ398" i="10" s="1"/>
  <c r="AD398" i="10" s="1"/>
  <c r="Q398" i="10"/>
  <c r="AI398" i="10" s="1"/>
  <c r="W398" i="10" s="1"/>
  <c r="P398" i="10"/>
  <c r="AH398" i="10" s="1"/>
  <c r="O398" i="10"/>
  <c r="AG398" i="10" s="1"/>
  <c r="S397" i="10"/>
  <c r="AK397" i="10" s="1"/>
  <c r="R397" i="10"/>
  <c r="AJ397" i="10" s="1"/>
  <c r="Q397" i="10"/>
  <c r="AI397" i="10" s="1"/>
  <c r="W397" i="10" s="1"/>
  <c r="P397" i="10"/>
  <c r="AH397" i="10" s="1"/>
  <c r="O397" i="10"/>
  <c r="AG397" i="10" s="1"/>
  <c r="S396" i="10"/>
  <c r="AK396" i="10" s="1"/>
  <c r="R396" i="10"/>
  <c r="AJ396" i="10" s="1"/>
  <c r="AD396" i="10" s="1"/>
  <c r="Q396" i="10"/>
  <c r="AI396" i="10" s="1"/>
  <c r="W396" i="10" s="1"/>
  <c r="P396" i="10"/>
  <c r="AH396" i="10" s="1"/>
  <c r="O396" i="10"/>
  <c r="AG396" i="10" s="1"/>
  <c r="AK395" i="10"/>
  <c r="AE395" i="10" s="1"/>
  <c r="AJ395" i="10"/>
  <c r="AI395" i="10"/>
  <c r="AC395" i="10" s="1"/>
  <c r="AH395" i="10"/>
  <c r="AG395" i="10"/>
  <c r="AA395" i="10" s="1"/>
  <c r="S395" i="10"/>
  <c r="R395" i="10"/>
  <c r="Q395" i="10"/>
  <c r="P395" i="10"/>
  <c r="O395" i="10"/>
  <c r="S394" i="10"/>
  <c r="AK394" i="10" s="1"/>
  <c r="R394" i="10"/>
  <c r="AJ394" i="10" s="1"/>
  <c r="AD394" i="10" s="1"/>
  <c r="Q394" i="10"/>
  <c r="AI394" i="10" s="1"/>
  <c r="W394" i="10" s="1"/>
  <c r="P394" i="10"/>
  <c r="AH394" i="10" s="1"/>
  <c r="O394" i="10"/>
  <c r="AG394" i="10" s="1"/>
  <c r="AE393" i="10"/>
  <c r="AD393" i="10"/>
  <c r="AC393" i="10"/>
  <c r="AB393" i="10"/>
  <c r="AA393" i="10"/>
  <c r="Y393" i="10"/>
  <c r="X393" i="10"/>
  <c r="W393" i="10"/>
  <c r="V393" i="10"/>
  <c r="U393" i="10"/>
  <c r="S393" i="10"/>
  <c r="R393" i="10"/>
  <c r="Q393" i="10"/>
  <c r="P393" i="10"/>
  <c r="O393" i="10"/>
  <c r="AK392" i="10"/>
  <c r="AJ392" i="10"/>
  <c r="AD392" i="10" s="1"/>
  <c r="AI392" i="10"/>
  <c r="AC392" i="10" s="1"/>
  <c r="AH392" i="10"/>
  <c r="AB392" i="10" s="1"/>
  <c r="AG392" i="10"/>
  <c r="S392" i="10"/>
  <c r="R392" i="10"/>
  <c r="Q392" i="10"/>
  <c r="P392" i="10"/>
  <c r="O392" i="10"/>
  <c r="AK391" i="10"/>
  <c r="AJ391" i="10"/>
  <c r="AD391" i="10" s="1"/>
  <c r="AI391" i="10"/>
  <c r="AC391" i="10" s="1"/>
  <c r="AH391" i="10"/>
  <c r="AB391" i="10" s="1"/>
  <c r="AG391" i="10"/>
  <c r="S391" i="10"/>
  <c r="R391" i="10"/>
  <c r="Q391" i="10"/>
  <c r="P391" i="10"/>
  <c r="O391" i="10"/>
  <c r="S390" i="10"/>
  <c r="AK390" i="10" s="1"/>
  <c r="R390" i="10"/>
  <c r="AJ390" i="10" s="1"/>
  <c r="Q390" i="10"/>
  <c r="AI390" i="10" s="1"/>
  <c r="AC390" i="10" s="1"/>
  <c r="P390" i="10"/>
  <c r="AH390" i="10" s="1"/>
  <c r="V390" i="10" s="1"/>
  <c r="O390" i="10"/>
  <c r="AG390" i="10" s="1"/>
  <c r="AK389" i="10"/>
  <c r="AJ389" i="10"/>
  <c r="AD389" i="10" s="1"/>
  <c r="AI389" i="10"/>
  <c r="AC389" i="10" s="1"/>
  <c r="AH389" i="10"/>
  <c r="AB389" i="10" s="1"/>
  <c r="AG389" i="10"/>
  <c r="S389" i="10"/>
  <c r="R389" i="10"/>
  <c r="Q389" i="10"/>
  <c r="P389" i="10"/>
  <c r="O389" i="10"/>
  <c r="S388" i="10"/>
  <c r="AK388" i="10" s="1"/>
  <c r="R388" i="10"/>
  <c r="AJ388" i="10" s="1"/>
  <c r="Q388" i="10"/>
  <c r="AI388" i="10" s="1"/>
  <c r="P388" i="10"/>
  <c r="AH388" i="10" s="1"/>
  <c r="V388" i="10" s="1"/>
  <c r="O388" i="10"/>
  <c r="AG388" i="10" s="1"/>
  <c r="S387" i="10"/>
  <c r="AK387" i="10" s="1"/>
  <c r="R387" i="10"/>
  <c r="AJ387" i="10" s="1"/>
  <c r="AD387" i="10" s="1"/>
  <c r="Q387" i="10"/>
  <c r="AI387" i="10" s="1"/>
  <c r="P387" i="10"/>
  <c r="AH387" i="10" s="1"/>
  <c r="V387" i="10" s="1"/>
  <c r="O387" i="10"/>
  <c r="AG387" i="10" s="1"/>
  <c r="S386" i="10"/>
  <c r="AK386" i="10" s="1"/>
  <c r="R386" i="10"/>
  <c r="AJ386" i="10" s="1"/>
  <c r="AD386" i="10" s="1"/>
  <c r="Q386" i="10"/>
  <c r="AI386" i="10" s="1"/>
  <c r="P386" i="10"/>
  <c r="AH386" i="10" s="1"/>
  <c r="V386" i="10" s="1"/>
  <c r="O386" i="10"/>
  <c r="AG386" i="10" s="1"/>
  <c r="AE385" i="10"/>
  <c r="AD385" i="10"/>
  <c r="AC385" i="10"/>
  <c r="AB385" i="10"/>
  <c r="AA385" i="10"/>
  <c r="Y385" i="10"/>
  <c r="X385" i="10"/>
  <c r="W385" i="10"/>
  <c r="V385" i="10"/>
  <c r="U385" i="10"/>
  <c r="S385" i="10"/>
  <c r="R385" i="10"/>
  <c r="Q385" i="10"/>
  <c r="P385" i="10"/>
  <c r="O385" i="10"/>
  <c r="S384" i="10"/>
  <c r="AK384" i="10" s="1"/>
  <c r="R384" i="10"/>
  <c r="AJ384" i="10" s="1"/>
  <c r="Q384" i="10"/>
  <c r="AI384" i="10" s="1"/>
  <c r="AC384" i="10" s="1"/>
  <c r="P384" i="10"/>
  <c r="AH384" i="10" s="1"/>
  <c r="V384" i="10" s="1"/>
  <c r="O384" i="10"/>
  <c r="AG384" i="10" s="1"/>
  <c r="S383" i="10"/>
  <c r="AK383" i="10" s="1"/>
  <c r="R383" i="10"/>
  <c r="AJ383" i="10" s="1"/>
  <c r="Q383" i="10"/>
  <c r="AI383" i="10" s="1"/>
  <c r="AC383" i="10" s="1"/>
  <c r="P383" i="10"/>
  <c r="AH383" i="10" s="1"/>
  <c r="AB383" i="10" s="1"/>
  <c r="O383" i="10"/>
  <c r="AG383" i="10" s="1"/>
  <c r="S382" i="10"/>
  <c r="AK382" i="10" s="1"/>
  <c r="Y382" i="10" s="1"/>
  <c r="R382" i="10"/>
  <c r="AJ382" i="10" s="1"/>
  <c r="Q382" i="10"/>
  <c r="AI382" i="10" s="1"/>
  <c r="P382" i="10"/>
  <c r="AH382" i="10" s="1"/>
  <c r="V382" i="10" s="1"/>
  <c r="O382" i="10"/>
  <c r="AG382" i="10" s="1"/>
  <c r="S381" i="10"/>
  <c r="AK381" i="10" s="1"/>
  <c r="R381" i="10"/>
  <c r="AJ381" i="10" s="1"/>
  <c r="Q381" i="10"/>
  <c r="AI381" i="10" s="1"/>
  <c r="AC381" i="10" s="1"/>
  <c r="P381" i="10"/>
  <c r="AH381" i="10" s="1"/>
  <c r="V381" i="10" s="1"/>
  <c r="O381" i="10"/>
  <c r="AG381" i="10" s="1"/>
  <c r="S380" i="10"/>
  <c r="AK380" i="10" s="1"/>
  <c r="R380" i="10"/>
  <c r="AJ380" i="10" s="1"/>
  <c r="Q380" i="10"/>
  <c r="AI380" i="10" s="1"/>
  <c r="AC380" i="10" s="1"/>
  <c r="P380" i="10"/>
  <c r="AH380" i="10" s="1"/>
  <c r="O380" i="10"/>
  <c r="AG380" i="10" s="1"/>
  <c r="S379" i="10"/>
  <c r="AK379" i="10" s="1"/>
  <c r="Y379" i="10" s="1"/>
  <c r="R379" i="10"/>
  <c r="AJ379" i="10" s="1"/>
  <c r="Q379" i="10"/>
  <c r="AI379" i="10" s="1"/>
  <c r="AC379" i="10" s="1"/>
  <c r="P379" i="10"/>
  <c r="AH379" i="10" s="1"/>
  <c r="AB379" i="10" s="1"/>
  <c r="O379" i="10"/>
  <c r="AG379" i="10" s="1"/>
  <c r="S378" i="10"/>
  <c r="AK378" i="10" s="1"/>
  <c r="Y378" i="10" s="1"/>
  <c r="R378" i="10"/>
  <c r="AJ378" i="10" s="1"/>
  <c r="Q378" i="10"/>
  <c r="AI378" i="10" s="1"/>
  <c r="P378" i="10"/>
  <c r="AH378" i="10" s="1"/>
  <c r="V378" i="10" s="1"/>
  <c r="O378" i="10"/>
  <c r="AG378" i="10" s="1"/>
  <c r="AK377" i="10"/>
  <c r="AJ377" i="10"/>
  <c r="AI377" i="10"/>
  <c r="W377" i="10" s="1"/>
  <c r="AH377" i="10"/>
  <c r="V377" i="10" s="1"/>
  <c r="AG377" i="10"/>
  <c r="U377" i="10" s="1"/>
  <c r="S377" i="10"/>
  <c r="R377" i="10"/>
  <c r="Q377" i="10"/>
  <c r="P377" i="10"/>
  <c r="O377" i="10"/>
  <c r="S376" i="10"/>
  <c r="AK376" i="10" s="1"/>
  <c r="Y376" i="10" s="1"/>
  <c r="R376" i="10"/>
  <c r="AJ376" i="10" s="1"/>
  <c r="Q376" i="10"/>
  <c r="AI376" i="10" s="1"/>
  <c r="AC376" i="10" s="1"/>
  <c r="P376" i="10"/>
  <c r="AH376" i="10" s="1"/>
  <c r="V376" i="10" s="1"/>
  <c r="O376" i="10"/>
  <c r="AG376" i="10" s="1"/>
  <c r="S375" i="10"/>
  <c r="AK375" i="10" s="1"/>
  <c r="R375" i="10"/>
  <c r="AJ375" i="10" s="1"/>
  <c r="Q375" i="10"/>
  <c r="AI375" i="10" s="1"/>
  <c r="AC375" i="10" s="1"/>
  <c r="P375" i="10"/>
  <c r="AH375" i="10" s="1"/>
  <c r="O375" i="10"/>
  <c r="AG375" i="10" s="1"/>
  <c r="S374" i="10"/>
  <c r="AK374" i="10" s="1"/>
  <c r="R374" i="10"/>
  <c r="AJ374" i="10" s="1"/>
  <c r="Q374" i="10"/>
  <c r="AI374" i="10" s="1"/>
  <c r="AC374" i="10" s="1"/>
  <c r="P374" i="10"/>
  <c r="AH374" i="10" s="1"/>
  <c r="AB374" i="10" s="1"/>
  <c r="O374" i="10"/>
  <c r="AG374" i="10" s="1"/>
  <c r="U374" i="10" s="1"/>
  <c r="S373" i="10"/>
  <c r="AK373" i="10" s="1"/>
  <c r="R373" i="10"/>
  <c r="AJ373" i="10" s="1"/>
  <c r="Q373" i="10"/>
  <c r="AI373" i="10" s="1"/>
  <c r="P373" i="10"/>
  <c r="AH373" i="10" s="1"/>
  <c r="V373" i="10" s="1"/>
  <c r="O373" i="10"/>
  <c r="AG373" i="10" s="1"/>
  <c r="S372" i="10"/>
  <c r="AK372" i="10" s="1"/>
  <c r="R372" i="10"/>
  <c r="AJ372" i="10" s="1"/>
  <c r="Q372" i="10"/>
  <c r="AI372" i="10" s="1"/>
  <c r="P372" i="10"/>
  <c r="AH372" i="10" s="1"/>
  <c r="V372" i="10" s="1"/>
  <c r="O372" i="10"/>
  <c r="AG372" i="10" s="1"/>
  <c r="S371" i="10"/>
  <c r="AK371" i="10" s="1"/>
  <c r="R371" i="10"/>
  <c r="AJ371" i="10" s="1"/>
  <c r="Q371" i="10"/>
  <c r="AI371" i="10" s="1"/>
  <c r="P371" i="10"/>
  <c r="AH371" i="10" s="1"/>
  <c r="O371" i="10"/>
  <c r="AG371" i="10" s="1"/>
  <c r="S370" i="10"/>
  <c r="AK370" i="10" s="1"/>
  <c r="R370" i="10"/>
  <c r="AJ370" i="10" s="1"/>
  <c r="Q370" i="10"/>
  <c r="AI370" i="10" s="1"/>
  <c r="P370" i="10"/>
  <c r="AH370" i="10" s="1"/>
  <c r="V370" i="10" s="1"/>
  <c r="O370" i="10"/>
  <c r="AG370" i="10" s="1"/>
  <c r="S369" i="10"/>
  <c r="AK369" i="10" s="1"/>
  <c r="R369" i="10"/>
  <c r="AJ369" i="10" s="1"/>
  <c r="Q369" i="10"/>
  <c r="AI369" i="10" s="1"/>
  <c r="AC369" i="10" s="1"/>
  <c r="P369" i="10"/>
  <c r="AH369" i="10" s="1"/>
  <c r="V369" i="10" s="1"/>
  <c r="O369" i="10"/>
  <c r="AG369" i="10" s="1"/>
  <c r="S368" i="10"/>
  <c r="AK368" i="10" s="1"/>
  <c r="R368" i="10"/>
  <c r="AJ368" i="10" s="1"/>
  <c r="Q368" i="10"/>
  <c r="AI368" i="10" s="1"/>
  <c r="P368" i="10"/>
  <c r="AH368" i="10" s="1"/>
  <c r="V368" i="10" s="1"/>
  <c r="O368" i="10"/>
  <c r="AG368" i="10" s="1"/>
  <c r="S367" i="10"/>
  <c r="AK367" i="10" s="1"/>
  <c r="R367" i="10"/>
  <c r="AJ367" i="10" s="1"/>
  <c r="Q367" i="10"/>
  <c r="AI367" i="10" s="1"/>
  <c r="AC367" i="10" s="1"/>
  <c r="P367" i="10"/>
  <c r="AH367" i="10" s="1"/>
  <c r="O367" i="10"/>
  <c r="AG367" i="10" s="1"/>
  <c r="AK366" i="10"/>
  <c r="AJ366" i="10"/>
  <c r="X366" i="10" s="1"/>
  <c r="AI366" i="10"/>
  <c r="W366" i="10" s="1"/>
  <c r="AH366" i="10"/>
  <c r="V366" i="10" s="1"/>
  <c r="AG366" i="10"/>
  <c r="S366" i="10"/>
  <c r="R366" i="10"/>
  <c r="Q366" i="10"/>
  <c r="P366" i="10"/>
  <c r="O366" i="10"/>
  <c r="S365" i="10"/>
  <c r="AK365" i="10" s="1"/>
  <c r="R365" i="10"/>
  <c r="AJ365" i="10" s="1"/>
  <c r="Q365" i="10"/>
  <c r="AI365" i="10" s="1"/>
  <c r="P365" i="10"/>
  <c r="AH365" i="10" s="1"/>
  <c r="V365" i="10" s="1"/>
  <c r="O365" i="10"/>
  <c r="AG365" i="10" s="1"/>
  <c r="S364" i="10"/>
  <c r="AK364" i="10" s="1"/>
  <c r="R364" i="10"/>
  <c r="AJ364" i="10" s="1"/>
  <c r="Q364" i="10"/>
  <c r="AI364" i="10" s="1"/>
  <c r="AC364" i="10" s="1"/>
  <c r="P364" i="10"/>
  <c r="AH364" i="10" s="1"/>
  <c r="V364" i="10" s="1"/>
  <c r="O364" i="10"/>
  <c r="AG364" i="10" s="1"/>
  <c r="S363" i="10"/>
  <c r="AK363" i="10" s="1"/>
  <c r="R363" i="10"/>
  <c r="AJ363" i="10" s="1"/>
  <c r="Q363" i="10"/>
  <c r="AI363" i="10" s="1"/>
  <c r="AC363" i="10" s="1"/>
  <c r="P363" i="10"/>
  <c r="AH363" i="10" s="1"/>
  <c r="V363" i="10" s="1"/>
  <c r="O363" i="10"/>
  <c r="AG363" i="10" s="1"/>
  <c r="AK362" i="10"/>
  <c r="AJ362" i="10"/>
  <c r="X362" i="10" s="1"/>
  <c r="AI362" i="10"/>
  <c r="W362" i="10" s="1"/>
  <c r="AH362" i="10"/>
  <c r="V362" i="10" s="1"/>
  <c r="AG362" i="10"/>
  <c r="AE361" i="10"/>
  <c r="AD361" i="10"/>
  <c r="AC361" i="10"/>
  <c r="AB361" i="10"/>
  <c r="AA361" i="10"/>
  <c r="Y361" i="10"/>
  <c r="X361" i="10"/>
  <c r="W361" i="10"/>
  <c r="V361" i="10"/>
  <c r="U361" i="10"/>
  <c r="S361" i="10"/>
  <c r="R361" i="10"/>
  <c r="Q361" i="10"/>
  <c r="P361" i="10"/>
  <c r="O361" i="10"/>
  <c r="S360" i="10"/>
  <c r="AK360" i="10" s="1"/>
  <c r="AE360" i="10" s="1"/>
  <c r="R360" i="10"/>
  <c r="AJ360" i="10" s="1"/>
  <c r="X360" i="10" s="1"/>
  <c r="Q360" i="10"/>
  <c r="AI360" i="10" s="1"/>
  <c r="P360" i="10"/>
  <c r="AH360" i="10" s="1"/>
  <c r="O360" i="10"/>
  <c r="AG360" i="10" s="1"/>
  <c r="AA360" i="10" s="1"/>
  <c r="S359" i="10"/>
  <c r="AK359" i="10" s="1"/>
  <c r="R359" i="10"/>
  <c r="AJ359" i="10" s="1"/>
  <c r="X359" i="10" s="1"/>
  <c r="Q359" i="10"/>
  <c r="AI359" i="10" s="1"/>
  <c r="P359" i="10"/>
  <c r="AH359" i="10" s="1"/>
  <c r="O359" i="10"/>
  <c r="AG359" i="10" s="1"/>
  <c r="S358" i="10"/>
  <c r="AK358" i="10" s="1"/>
  <c r="AE358" i="10" s="1"/>
  <c r="R358" i="10"/>
  <c r="AJ358" i="10" s="1"/>
  <c r="X358" i="10" s="1"/>
  <c r="Q358" i="10"/>
  <c r="AI358" i="10" s="1"/>
  <c r="P358" i="10"/>
  <c r="AH358" i="10" s="1"/>
  <c r="O358" i="10"/>
  <c r="AG358" i="10" s="1"/>
  <c r="AA358" i="10" s="1"/>
  <c r="S357" i="10"/>
  <c r="AK357" i="10" s="1"/>
  <c r="AE357" i="10" s="1"/>
  <c r="R357" i="10"/>
  <c r="AJ357" i="10" s="1"/>
  <c r="X357" i="10" s="1"/>
  <c r="Q357" i="10"/>
  <c r="AI357" i="10" s="1"/>
  <c r="P357" i="10"/>
  <c r="AH357" i="10" s="1"/>
  <c r="O357" i="10"/>
  <c r="AG357" i="10" s="1"/>
  <c r="AA357" i="10" s="1"/>
  <c r="AK356" i="10"/>
  <c r="AE356" i="10" s="1"/>
  <c r="AJ356" i="10"/>
  <c r="X356" i="10" s="1"/>
  <c r="AI356" i="10"/>
  <c r="AH356" i="10"/>
  <c r="V356" i="10" s="1"/>
  <c r="AG356" i="10"/>
  <c r="AA356" i="10" s="1"/>
  <c r="S356" i="10"/>
  <c r="R356" i="10"/>
  <c r="Q356" i="10"/>
  <c r="P356" i="10"/>
  <c r="O356" i="10"/>
  <c r="S355" i="10"/>
  <c r="AK355" i="10" s="1"/>
  <c r="R355" i="10"/>
  <c r="AJ355" i="10" s="1"/>
  <c r="X355" i="10" s="1"/>
  <c r="Q355" i="10"/>
  <c r="AI355" i="10" s="1"/>
  <c r="P355" i="10"/>
  <c r="AH355" i="10" s="1"/>
  <c r="O355" i="10"/>
  <c r="AG355" i="10" s="1"/>
  <c r="AA355" i="10" s="1"/>
  <c r="S354" i="10"/>
  <c r="AK354" i="10" s="1"/>
  <c r="R354" i="10"/>
  <c r="AJ354" i="10" s="1"/>
  <c r="X354" i="10" s="1"/>
  <c r="Q354" i="10"/>
  <c r="AI354" i="10" s="1"/>
  <c r="P354" i="10"/>
  <c r="AH354" i="10" s="1"/>
  <c r="O354" i="10"/>
  <c r="AG354" i="10" s="1"/>
  <c r="S353" i="10"/>
  <c r="AK353" i="10" s="1"/>
  <c r="AE353" i="10" s="1"/>
  <c r="R353" i="10"/>
  <c r="AJ353" i="10" s="1"/>
  <c r="X353" i="10" s="1"/>
  <c r="Q353" i="10"/>
  <c r="AI353" i="10" s="1"/>
  <c r="P353" i="10"/>
  <c r="AH353" i="10" s="1"/>
  <c r="O353" i="10"/>
  <c r="AG353" i="10" s="1"/>
  <c r="S352" i="10"/>
  <c r="AK352" i="10" s="1"/>
  <c r="AE352" i="10" s="1"/>
  <c r="R352" i="10"/>
  <c r="AJ352" i="10" s="1"/>
  <c r="X352" i="10" s="1"/>
  <c r="Q352" i="10"/>
  <c r="AI352" i="10" s="1"/>
  <c r="P352" i="10"/>
  <c r="AH352" i="10" s="1"/>
  <c r="O352" i="10"/>
  <c r="AG352" i="10" s="1"/>
  <c r="AA352" i="10" s="1"/>
  <c r="S351" i="10"/>
  <c r="AK351" i="10" s="1"/>
  <c r="AE351" i="10" s="1"/>
  <c r="R351" i="10"/>
  <c r="AJ351" i="10" s="1"/>
  <c r="X351" i="10" s="1"/>
  <c r="Q351" i="10"/>
  <c r="AI351" i="10" s="1"/>
  <c r="P351" i="10"/>
  <c r="AH351" i="10" s="1"/>
  <c r="O351" i="10"/>
  <c r="AG351" i="10" s="1"/>
  <c r="AA351" i="10" s="1"/>
  <c r="S350" i="10"/>
  <c r="AK350" i="10" s="1"/>
  <c r="R350" i="10"/>
  <c r="AJ350" i="10" s="1"/>
  <c r="X350" i="10" s="1"/>
  <c r="Q350" i="10"/>
  <c r="AI350" i="10" s="1"/>
  <c r="P350" i="10"/>
  <c r="AH350" i="10" s="1"/>
  <c r="O350" i="10"/>
  <c r="AG350" i="10" s="1"/>
  <c r="S349" i="10"/>
  <c r="AK349" i="10" s="1"/>
  <c r="AE349" i="10" s="1"/>
  <c r="R349" i="10"/>
  <c r="AJ349" i="10" s="1"/>
  <c r="X349" i="10" s="1"/>
  <c r="Q349" i="10"/>
  <c r="AI349" i="10" s="1"/>
  <c r="P349" i="10"/>
  <c r="AH349" i="10" s="1"/>
  <c r="O349" i="10"/>
  <c r="AG349" i="10" s="1"/>
  <c r="AA349" i="10" s="1"/>
  <c r="AK348" i="10"/>
  <c r="AE348" i="10" s="1"/>
  <c r="AJ348" i="10"/>
  <c r="AI348" i="10"/>
  <c r="AH348" i="10"/>
  <c r="AB348" i="10" s="1"/>
  <c r="AG348" i="10"/>
  <c r="AA348" i="10" s="1"/>
  <c r="S348" i="10"/>
  <c r="R348" i="10"/>
  <c r="Q348" i="10"/>
  <c r="P348" i="10"/>
  <c r="O348" i="10"/>
  <c r="S347" i="10"/>
  <c r="AK347" i="10" s="1"/>
  <c r="R347" i="10"/>
  <c r="AJ347" i="10" s="1"/>
  <c r="X347" i="10" s="1"/>
  <c r="Q347" i="10"/>
  <c r="AI347" i="10" s="1"/>
  <c r="P347" i="10"/>
  <c r="AH347" i="10" s="1"/>
  <c r="O347" i="10"/>
  <c r="AG347" i="10" s="1"/>
  <c r="AK346" i="10"/>
  <c r="AE346" i="10" s="1"/>
  <c r="AJ346" i="10"/>
  <c r="AI346" i="10"/>
  <c r="AH346" i="10"/>
  <c r="AB346" i="10" s="1"/>
  <c r="AG346" i="10"/>
  <c r="U346" i="10" s="1"/>
  <c r="S346" i="10"/>
  <c r="R346" i="10"/>
  <c r="Q346" i="10"/>
  <c r="P346" i="10"/>
  <c r="O346" i="10"/>
  <c r="AK345" i="10"/>
  <c r="AE345" i="10" s="1"/>
  <c r="AJ345" i="10"/>
  <c r="AD345" i="10" s="1"/>
  <c r="AI345" i="10"/>
  <c r="AH345" i="10"/>
  <c r="AB345" i="10" s="1"/>
  <c r="AG345" i="10"/>
  <c r="AA345" i="10" s="1"/>
  <c r="S345" i="10"/>
  <c r="R345" i="10"/>
  <c r="Q345" i="10"/>
  <c r="P345" i="10"/>
  <c r="O345" i="10"/>
  <c r="S344" i="10"/>
  <c r="AK344" i="10" s="1"/>
  <c r="AE344" i="10" s="1"/>
  <c r="R344" i="10"/>
  <c r="AJ344" i="10" s="1"/>
  <c r="X344" i="10" s="1"/>
  <c r="Q344" i="10"/>
  <c r="AI344" i="10" s="1"/>
  <c r="P344" i="10"/>
  <c r="AH344" i="10" s="1"/>
  <c r="O344" i="10"/>
  <c r="AG344" i="10" s="1"/>
  <c r="AA344" i="10" s="1"/>
  <c r="S343" i="10"/>
  <c r="AK343" i="10" s="1"/>
  <c r="AE343" i="10" s="1"/>
  <c r="R343" i="10"/>
  <c r="AJ343" i="10" s="1"/>
  <c r="X343" i="10" s="1"/>
  <c r="Q343" i="10"/>
  <c r="AI343" i="10" s="1"/>
  <c r="P343" i="10"/>
  <c r="AH343" i="10" s="1"/>
  <c r="O343" i="10"/>
  <c r="AG343" i="10" s="1"/>
  <c r="AA343" i="10" s="1"/>
  <c r="S342" i="10"/>
  <c r="AK342" i="10" s="1"/>
  <c r="R342" i="10"/>
  <c r="AJ342" i="10" s="1"/>
  <c r="X342" i="10" s="1"/>
  <c r="Q342" i="10"/>
  <c r="AI342" i="10" s="1"/>
  <c r="P342" i="10"/>
  <c r="AH342" i="10" s="1"/>
  <c r="O342" i="10"/>
  <c r="AG342" i="10" s="1"/>
  <c r="AA342" i="10" s="1"/>
  <c r="S341" i="10"/>
  <c r="AK341" i="10" s="1"/>
  <c r="R341" i="10"/>
  <c r="AJ341" i="10" s="1"/>
  <c r="X341" i="10" s="1"/>
  <c r="Q341" i="10"/>
  <c r="AI341" i="10" s="1"/>
  <c r="P341" i="10"/>
  <c r="AH341" i="10" s="1"/>
  <c r="O341" i="10"/>
  <c r="AG341" i="10" s="1"/>
  <c r="S340" i="10"/>
  <c r="AK340" i="10" s="1"/>
  <c r="AE340" i="10" s="1"/>
  <c r="R340" i="10"/>
  <c r="AJ340" i="10" s="1"/>
  <c r="X340" i="10" s="1"/>
  <c r="Q340" i="10"/>
  <c r="AI340" i="10" s="1"/>
  <c r="P340" i="10"/>
  <c r="AH340" i="10" s="1"/>
  <c r="O340" i="10"/>
  <c r="AG340" i="10" s="1"/>
  <c r="AA340" i="10" s="1"/>
  <c r="AK339" i="10"/>
  <c r="AE339" i="10" s="1"/>
  <c r="AJ339" i="10"/>
  <c r="AI339" i="10"/>
  <c r="AH339" i="10"/>
  <c r="AB339" i="10" s="1"/>
  <c r="AG339" i="10"/>
  <c r="S339" i="10"/>
  <c r="R339" i="10"/>
  <c r="Q339" i="10"/>
  <c r="P339" i="10"/>
  <c r="O339" i="10"/>
  <c r="S338" i="10"/>
  <c r="AK338" i="10" s="1"/>
  <c r="R338" i="10"/>
  <c r="AJ338" i="10" s="1"/>
  <c r="X338" i="10" s="1"/>
  <c r="Q338" i="10"/>
  <c r="AI338" i="10" s="1"/>
  <c r="P338" i="10"/>
  <c r="AH338" i="10" s="1"/>
  <c r="O338" i="10"/>
  <c r="AG338" i="10" s="1"/>
  <c r="AK337" i="10"/>
  <c r="AE337" i="10" s="1"/>
  <c r="AJ337" i="10"/>
  <c r="AI337" i="10"/>
  <c r="AH337" i="10"/>
  <c r="AG337" i="10"/>
  <c r="U337" i="10" s="1"/>
  <c r="S337" i="10"/>
  <c r="R337" i="10"/>
  <c r="Q337" i="10"/>
  <c r="P337" i="10"/>
  <c r="O337" i="10"/>
  <c r="AK336" i="10"/>
  <c r="AE336" i="10" s="1"/>
  <c r="AJ336" i="10"/>
  <c r="AD336" i="10" s="1"/>
  <c r="AI336" i="10"/>
  <c r="AH336" i="10"/>
  <c r="AG336" i="10"/>
  <c r="U336" i="10" s="1"/>
  <c r="S336" i="10"/>
  <c r="R336" i="10"/>
  <c r="Q336" i="10"/>
  <c r="P336" i="10"/>
  <c r="O336" i="10"/>
  <c r="AK335" i="10"/>
  <c r="AE335" i="10" s="1"/>
  <c r="AJ335" i="10"/>
  <c r="AI335" i="10"/>
  <c r="AH335" i="10"/>
  <c r="V335" i="10" s="1"/>
  <c r="AG335" i="10"/>
  <c r="AA335" i="10" s="1"/>
  <c r="S335" i="10"/>
  <c r="R335" i="10"/>
  <c r="Q335" i="10"/>
  <c r="P335" i="10"/>
  <c r="O335" i="10"/>
  <c r="AK334" i="10"/>
  <c r="AE334" i="10" s="1"/>
  <c r="AJ334" i="10"/>
  <c r="AD334" i="10" s="1"/>
  <c r="AI334" i="10"/>
  <c r="AH334" i="10"/>
  <c r="AB334" i="10" s="1"/>
  <c r="AG334" i="10"/>
  <c r="AA334" i="10" s="1"/>
  <c r="S334" i="10"/>
  <c r="R334" i="10"/>
  <c r="Q334" i="10"/>
  <c r="P334" i="10"/>
  <c r="O334" i="10"/>
  <c r="S333" i="10"/>
  <c r="AK333" i="10" s="1"/>
  <c r="AE333" i="10" s="1"/>
  <c r="R333" i="10"/>
  <c r="AJ333" i="10" s="1"/>
  <c r="X333" i="10" s="1"/>
  <c r="Q333" i="10"/>
  <c r="AI333" i="10" s="1"/>
  <c r="P333" i="10"/>
  <c r="AH333" i="10" s="1"/>
  <c r="O333" i="10"/>
  <c r="AG333" i="10" s="1"/>
  <c r="AA333" i="10" s="1"/>
  <c r="S332" i="10"/>
  <c r="AK332" i="10" s="1"/>
  <c r="AE332" i="10" s="1"/>
  <c r="R332" i="10"/>
  <c r="AJ332" i="10" s="1"/>
  <c r="X332" i="10" s="1"/>
  <c r="Q332" i="10"/>
  <c r="AI332" i="10" s="1"/>
  <c r="P332" i="10"/>
  <c r="AH332" i="10" s="1"/>
  <c r="O332" i="10"/>
  <c r="AG332" i="10" s="1"/>
  <c r="S331" i="10"/>
  <c r="AK331" i="10" s="1"/>
  <c r="R331" i="10"/>
  <c r="AJ331" i="10" s="1"/>
  <c r="X331" i="10" s="1"/>
  <c r="Q331" i="10"/>
  <c r="AI331" i="10" s="1"/>
  <c r="P331" i="10"/>
  <c r="AH331" i="10" s="1"/>
  <c r="O331" i="10"/>
  <c r="AG331" i="10" s="1"/>
  <c r="S330" i="10"/>
  <c r="AK330" i="10" s="1"/>
  <c r="AE330" i="10" s="1"/>
  <c r="R330" i="10"/>
  <c r="AJ330" i="10" s="1"/>
  <c r="X330" i="10" s="1"/>
  <c r="Q330" i="10"/>
  <c r="AI330" i="10" s="1"/>
  <c r="P330" i="10"/>
  <c r="AH330" i="10" s="1"/>
  <c r="O330" i="10"/>
  <c r="AG330" i="10" s="1"/>
  <c r="S329" i="10"/>
  <c r="AK329" i="10" s="1"/>
  <c r="R329" i="10"/>
  <c r="AJ329" i="10" s="1"/>
  <c r="X329" i="10" s="1"/>
  <c r="Q329" i="10"/>
  <c r="AI329" i="10" s="1"/>
  <c r="P329" i="10"/>
  <c r="AH329" i="10" s="1"/>
  <c r="O329" i="10"/>
  <c r="AG329" i="10" s="1"/>
  <c r="S328" i="10"/>
  <c r="AK328" i="10" s="1"/>
  <c r="Y328" i="10" s="1"/>
  <c r="R328" i="10"/>
  <c r="AJ328" i="10" s="1"/>
  <c r="Q328" i="10"/>
  <c r="AI328" i="10" s="1"/>
  <c r="P328" i="10"/>
  <c r="AH328" i="10" s="1"/>
  <c r="O328" i="10"/>
  <c r="AG328" i="10" s="1"/>
  <c r="AE327" i="10"/>
  <c r="AD327" i="10"/>
  <c r="AC327" i="10"/>
  <c r="AB327" i="10"/>
  <c r="AA327" i="10"/>
  <c r="Y327" i="10"/>
  <c r="X327" i="10"/>
  <c r="W327" i="10"/>
  <c r="V327" i="10"/>
  <c r="U327" i="10"/>
  <c r="S327" i="10"/>
  <c r="R327" i="10"/>
  <c r="Q327" i="10"/>
  <c r="P327" i="10"/>
  <c r="O327" i="10"/>
  <c r="S326" i="10"/>
  <c r="AK326" i="10" s="1"/>
  <c r="R326" i="10"/>
  <c r="AJ326" i="10" s="1"/>
  <c r="Q326" i="10"/>
  <c r="AI326" i="10" s="1"/>
  <c r="W326" i="10" s="1"/>
  <c r="P326" i="10"/>
  <c r="AH326" i="10" s="1"/>
  <c r="O326" i="10"/>
  <c r="AG326" i="10" s="1"/>
  <c r="S325" i="10"/>
  <c r="AK325" i="10" s="1"/>
  <c r="R325" i="10"/>
  <c r="AJ325" i="10" s="1"/>
  <c r="Q325" i="10"/>
  <c r="AI325" i="10" s="1"/>
  <c r="W325" i="10" s="1"/>
  <c r="P325" i="10"/>
  <c r="AH325" i="10" s="1"/>
  <c r="O325" i="10"/>
  <c r="AG325" i="10" s="1"/>
  <c r="S324" i="10"/>
  <c r="AK324" i="10" s="1"/>
  <c r="R324" i="10"/>
  <c r="AJ324" i="10" s="1"/>
  <c r="Q324" i="10"/>
  <c r="AI324" i="10" s="1"/>
  <c r="W324" i="10" s="1"/>
  <c r="P324" i="10"/>
  <c r="AH324" i="10" s="1"/>
  <c r="O324" i="10"/>
  <c r="AG324" i="10" s="1"/>
  <c r="S323" i="10"/>
  <c r="AK323" i="10" s="1"/>
  <c r="R323" i="10"/>
  <c r="AJ323" i="10" s="1"/>
  <c r="X323" i="10" s="1"/>
  <c r="Q323" i="10"/>
  <c r="AI323" i="10" s="1"/>
  <c r="W323" i="10" s="1"/>
  <c r="P323" i="10"/>
  <c r="AH323" i="10" s="1"/>
  <c r="O323" i="10"/>
  <c r="AG323" i="10" s="1"/>
  <c r="AK322" i="10"/>
  <c r="AJ322" i="10"/>
  <c r="AD322" i="10" s="1"/>
  <c r="AI322" i="10"/>
  <c r="W322" i="10" s="1"/>
  <c r="AH322" i="10"/>
  <c r="AB322" i="10" s="1"/>
  <c r="AG322" i="10"/>
  <c r="S322" i="10"/>
  <c r="R322" i="10"/>
  <c r="Q322" i="10"/>
  <c r="P322" i="10"/>
  <c r="O322" i="10"/>
  <c r="AK321" i="10"/>
  <c r="AJ321" i="10"/>
  <c r="AI321" i="10"/>
  <c r="AC321" i="10" s="1"/>
  <c r="AH321" i="10"/>
  <c r="AG321" i="10"/>
  <c r="S321" i="10"/>
  <c r="R321" i="10"/>
  <c r="Q321" i="10"/>
  <c r="P321" i="10"/>
  <c r="O321" i="10"/>
  <c r="S320" i="10"/>
  <c r="AK320" i="10" s="1"/>
  <c r="Y320" i="10" s="1"/>
  <c r="R320" i="10"/>
  <c r="AJ320" i="10" s="1"/>
  <c r="Q320" i="10"/>
  <c r="AI320" i="10" s="1"/>
  <c r="P320" i="10"/>
  <c r="AH320" i="10" s="1"/>
  <c r="AB320" i="10" s="1"/>
  <c r="O320" i="10"/>
  <c r="AG320" i="10" s="1"/>
  <c r="U320" i="10" s="1"/>
  <c r="S319" i="10"/>
  <c r="AK319" i="10" s="1"/>
  <c r="R319" i="10"/>
  <c r="AJ319" i="10" s="1"/>
  <c r="Q319" i="10"/>
  <c r="AI319" i="10" s="1"/>
  <c r="P319" i="10"/>
  <c r="AH319" i="10" s="1"/>
  <c r="AB319" i="10" s="1"/>
  <c r="O319" i="10"/>
  <c r="AG319" i="10" s="1"/>
  <c r="U319" i="10" s="1"/>
  <c r="S318" i="10"/>
  <c r="AK318" i="10" s="1"/>
  <c r="R318" i="10"/>
  <c r="AJ318" i="10" s="1"/>
  <c r="Q318" i="10"/>
  <c r="AI318" i="10" s="1"/>
  <c r="P318" i="10"/>
  <c r="AH318" i="10" s="1"/>
  <c r="AB318" i="10" s="1"/>
  <c r="O318" i="10"/>
  <c r="AG318" i="10" s="1"/>
  <c r="S317" i="10"/>
  <c r="AK317" i="10" s="1"/>
  <c r="Y317" i="10" s="1"/>
  <c r="R317" i="10"/>
  <c r="AJ317" i="10" s="1"/>
  <c r="Q317" i="10"/>
  <c r="AI317" i="10" s="1"/>
  <c r="P317" i="10"/>
  <c r="AH317" i="10" s="1"/>
  <c r="AB317" i="10" s="1"/>
  <c r="O317" i="10"/>
  <c r="AG317" i="10" s="1"/>
  <c r="S316" i="10"/>
  <c r="AK316" i="10" s="1"/>
  <c r="Y316" i="10" s="1"/>
  <c r="R316" i="10"/>
  <c r="AJ316" i="10" s="1"/>
  <c r="Q316" i="10"/>
  <c r="AI316" i="10" s="1"/>
  <c r="P316" i="10"/>
  <c r="AH316" i="10" s="1"/>
  <c r="AB316" i="10" s="1"/>
  <c r="O316" i="10"/>
  <c r="AG316" i="10" s="1"/>
  <c r="U316" i="10" s="1"/>
  <c r="S315" i="10"/>
  <c r="AK315" i="10" s="1"/>
  <c r="R315" i="10"/>
  <c r="AJ315" i="10" s="1"/>
  <c r="Q315" i="10"/>
  <c r="AI315" i="10" s="1"/>
  <c r="P315" i="10"/>
  <c r="AH315" i="10" s="1"/>
  <c r="AB315" i="10" s="1"/>
  <c r="O315" i="10"/>
  <c r="AG315" i="10" s="1"/>
  <c r="U315" i="10" s="1"/>
  <c r="S314" i="10"/>
  <c r="AK314" i="10" s="1"/>
  <c r="R314" i="10"/>
  <c r="AJ314" i="10" s="1"/>
  <c r="Q314" i="10"/>
  <c r="AI314" i="10" s="1"/>
  <c r="P314" i="10"/>
  <c r="AH314" i="10" s="1"/>
  <c r="AB314" i="10" s="1"/>
  <c r="O314" i="10"/>
  <c r="AG314" i="10" s="1"/>
  <c r="S313" i="10"/>
  <c r="AK313" i="10" s="1"/>
  <c r="Y313" i="10" s="1"/>
  <c r="R313" i="10"/>
  <c r="AJ313" i="10" s="1"/>
  <c r="Q313" i="10"/>
  <c r="AI313" i="10" s="1"/>
  <c r="P313" i="10"/>
  <c r="AH313" i="10" s="1"/>
  <c r="AB313" i="10" s="1"/>
  <c r="O313" i="10"/>
  <c r="AG313" i="10" s="1"/>
  <c r="U313" i="10" s="1"/>
  <c r="S312" i="10"/>
  <c r="AK312" i="10" s="1"/>
  <c r="Y312" i="10" s="1"/>
  <c r="R312" i="10"/>
  <c r="AJ312" i="10" s="1"/>
  <c r="Q312" i="10"/>
  <c r="AI312" i="10" s="1"/>
  <c r="P312" i="10"/>
  <c r="AH312" i="10" s="1"/>
  <c r="AB312" i="10" s="1"/>
  <c r="O312" i="10"/>
  <c r="AG312" i="10" s="1"/>
  <c r="U312" i="10" s="1"/>
  <c r="S311" i="10"/>
  <c r="AK311" i="10" s="1"/>
  <c r="R311" i="10"/>
  <c r="AJ311" i="10" s="1"/>
  <c r="Q311" i="10"/>
  <c r="AI311" i="10" s="1"/>
  <c r="P311" i="10"/>
  <c r="AH311" i="10" s="1"/>
  <c r="AB311" i="10" s="1"/>
  <c r="O311" i="10"/>
  <c r="AG311" i="10" s="1"/>
  <c r="U311" i="10" s="1"/>
  <c r="AE310" i="10"/>
  <c r="AD310" i="10"/>
  <c r="AC310" i="10"/>
  <c r="AB310" i="10"/>
  <c r="AA310" i="10"/>
  <c r="Y310" i="10"/>
  <c r="X310" i="10"/>
  <c r="W310" i="10"/>
  <c r="V310" i="10"/>
  <c r="U310" i="10"/>
  <c r="S310" i="10"/>
  <c r="R310" i="10"/>
  <c r="Q310" i="10"/>
  <c r="P310" i="10"/>
  <c r="O310" i="10"/>
  <c r="S309" i="10"/>
  <c r="AK309" i="10" s="1"/>
  <c r="AE309" i="10" s="1"/>
  <c r="R309" i="10"/>
  <c r="AJ309" i="10" s="1"/>
  <c r="Q309" i="10"/>
  <c r="AI309" i="10" s="1"/>
  <c r="P309" i="10"/>
  <c r="AH309" i="10" s="1"/>
  <c r="O309" i="10"/>
  <c r="AG309" i="10" s="1"/>
  <c r="AA309" i="10" s="1"/>
  <c r="S308" i="10"/>
  <c r="AK308" i="10" s="1"/>
  <c r="R308" i="10"/>
  <c r="AJ308" i="10" s="1"/>
  <c r="X308" i="10" s="1"/>
  <c r="Q308" i="10"/>
  <c r="AI308" i="10" s="1"/>
  <c r="P308" i="10"/>
  <c r="AH308" i="10" s="1"/>
  <c r="O308" i="10"/>
  <c r="AG308" i="10" s="1"/>
  <c r="S307" i="10"/>
  <c r="AK307" i="10" s="1"/>
  <c r="R307" i="10"/>
  <c r="AJ307" i="10" s="1"/>
  <c r="X307" i="10" s="1"/>
  <c r="Q307" i="10"/>
  <c r="AI307" i="10" s="1"/>
  <c r="P307" i="10"/>
  <c r="AH307" i="10" s="1"/>
  <c r="O307" i="10"/>
  <c r="AG307" i="10" s="1"/>
  <c r="S306" i="10"/>
  <c r="AK306" i="10" s="1"/>
  <c r="AE306" i="10" s="1"/>
  <c r="R306" i="10"/>
  <c r="AJ306" i="10" s="1"/>
  <c r="Q306" i="10"/>
  <c r="AI306" i="10" s="1"/>
  <c r="P306" i="10"/>
  <c r="AH306" i="10" s="1"/>
  <c r="O306" i="10"/>
  <c r="AG306" i="10" s="1"/>
  <c r="AA306" i="10" s="1"/>
  <c r="S305" i="10"/>
  <c r="AK305" i="10" s="1"/>
  <c r="R305" i="10"/>
  <c r="AJ305" i="10" s="1"/>
  <c r="X305" i="10" s="1"/>
  <c r="Q305" i="10"/>
  <c r="AI305" i="10" s="1"/>
  <c r="P305" i="10"/>
  <c r="AH305" i="10" s="1"/>
  <c r="O305" i="10"/>
  <c r="AG305" i="10" s="1"/>
  <c r="S304" i="10"/>
  <c r="AK304" i="10" s="1"/>
  <c r="AE304" i="10" s="1"/>
  <c r="R304" i="10"/>
  <c r="AJ304" i="10" s="1"/>
  <c r="X304" i="10" s="1"/>
  <c r="Q304" i="10"/>
  <c r="AI304" i="10" s="1"/>
  <c r="P304" i="10"/>
  <c r="AH304" i="10" s="1"/>
  <c r="O304" i="10"/>
  <c r="AG304" i="10" s="1"/>
  <c r="AA304" i="10" s="1"/>
  <c r="S303" i="10"/>
  <c r="AK303" i="10" s="1"/>
  <c r="AE303" i="10" s="1"/>
  <c r="R303" i="10"/>
  <c r="AJ303" i="10" s="1"/>
  <c r="X303" i="10" s="1"/>
  <c r="Q303" i="10"/>
  <c r="AI303" i="10" s="1"/>
  <c r="P303" i="10"/>
  <c r="AH303" i="10" s="1"/>
  <c r="O303" i="10"/>
  <c r="AG303" i="10" s="1"/>
  <c r="AA303" i="10" s="1"/>
  <c r="S302" i="10"/>
  <c r="AK302" i="10" s="1"/>
  <c r="AE302" i="10" s="1"/>
  <c r="R302" i="10"/>
  <c r="AJ302" i="10" s="1"/>
  <c r="X302" i="10" s="1"/>
  <c r="Q302" i="10"/>
  <c r="AI302" i="10" s="1"/>
  <c r="P302" i="10"/>
  <c r="AH302" i="10" s="1"/>
  <c r="O302" i="10"/>
  <c r="AG302" i="10" s="1"/>
  <c r="AA302" i="10" s="1"/>
  <c r="AK301" i="10"/>
  <c r="AJ301" i="10"/>
  <c r="AD301" i="10" s="1"/>
  <c r="AI301" i="10"/>
  <c r="AH301" i="10"/>
  <c r="V301" i="10" s="1"/>
  <c r="AG301" i="10"/>
  <c r="AA301" i="10" s="1"/>
  <c r="S301" i="10"/>
  <c r="R301" i="10"/>
  <c r="Q301" i="10"/>
  <c r="P301" i="10"/>
  <c r="O301" i="10"/>
  <c r="S300" i="10"/>
  <c r="AK300" i="10" s="1"/>
  <c r="R300" i="10"/>
  <c r="AJ300" i="10" s="1"/>
  <c r="X300" i="10" s="1"/>
  <c r="Q300" i="10"/>
  <c r="AI300" i="10" s="1"/>
  <c r="P300" i="10"/>
  <c r="AH300" i="10" s="1"/>
  <c r="O300" i="10"/>
  <c r="AG300" i="10" s="1"/>
  <c r="AA300" i="10" s="1"/>
  <c r="S299" i="10"/>
  <c r="AK299" i="10" s="1"/>
  <c r="AE299" i="10" s="1"/>
  <c r="R299" i="10"/>
  <c r="AJ299" i="10" s="1"/>
  <c r="X299" i="10" s="1"/>
  <c r="Q299" i="10"/>
  <c r="AI299" i="10" s="1"/>
  <c r="P299" i="10"/>
  <c r="AH299" i="10" s="1"/>
  <c r="O299" i="10"/>
  <c r="AG299" i="10" s="1"/>
  <c r="AA299" i="10" s="1"/>
  <c r="S298" i="10"/>
  <c r="AK298" i="10" s="1"/>
  <c r="R298" i="10"/>
  <c r="AJ298" i="10" s="1"/>
  <c r="X298" i="10" s="1"/>
  <c r="Q298" i="10"/>
  <c r="AI298" i="10" s="1"/>
  <c r="P298" i="10"/>
  <c r="AH298" i="10" s="1"/>
  <c r="O298" i="10"/>
  <c r="AG298" i="10" s="1"/>
  <c r="S297" i="10"/>
  <c r="AK297" i="10" s="1"/>
  <c r="R297" i="10"/>
  <c r="AJ297" i="10" s="1"/>
  <c r="X297" i="10" s="1"/>
  <c r="Q297" i="10"/>
  <c r="AI297" i="10" s="1"/>
  <c r="P297" i="10"/>
  <c r="AH297" i="10" s="1"/>
  <c r="O297" i="10"/>
  <c r="AG297" i="10" s="1"/>
  <c r="S296" i="10"/>
  <c r="AK296" i="10" s="1"/>
  <c r="AE296" i="10" s="1"/>
  <c r="R296" i="10"/>
  <c r="AJ296" i="10" s="1"/>
  <c r="X296" i="10" s="1"/>
  <c r="Q296" i="10"/>
  <c r="AI296" i="10" s="1"/>
  <c r="P296" i="10"/>
  <c r="AH296" i="10" s="1"/>
  <c r="O296" i="10"/>
  <c r="AG296" i="10" s="1"/>
  <c r="AA296" i="10" s="1"/>
  <c r="S295" i="10"/>
  <c r="AK295" i="10" s="1"/>
  <c r="AE295" i="10" s="1"/>
  <c r="R295" i="10"/>
  <c r="AJ295" i="10" s="1"/>
  <c r="X295" i="10" s="1"/>
  <c r="Q295" i="10"/>
  <c r="AI295" i="10" s="1"/>
  <c r="P295" i="10"/>
  <c r="AH295" i="10" s="1"/>
  <c r="O295" i="10"/>
  <c r="AG295" i="10" s="1"/>
  <c r="AA295" i="10" s="1"/>
  <c r="AK294" i="10"/>
  <c r="AE294" i="10" s="1"/>
  <c r="AJ294" i="10"/>
  <c r="X294" i="10" s="1"/>
  <c r="AI294" i="10"/>
  <c r="AH294" i="10"/>
  <c r="AG294" i="10"/>
  <c r="U294" i="10" s="1"/>
  <c r="S294" i="10"/>
  <c r="R294" i="10"/>
  <c r="Q294" i="10"/>
  <c r="P294" i="10"/>
  <c r="O294" i="10"/>
  <c r="AK293" i="10"/>
  <c r="AE293" i="10" s="1"/>
  <c r="AJ293" i="10"/>
  <c r="AD293" i="10" s="1"/>
  <c r="AI293" i="10"/>
  <c r="AH293" i="10"/>
  <c r="AB293" i="10" s="1"/>
  <c r="AG293" i="10"/>
  <c r="S293" i="10"/>
  <c r="R293" i="10"/>
  <c r="Q293" i="10"/>
  <c r="P293" i="10"/>
  <c r="O293" i="10"/>
  <c r="AK292" i="10"/>
  <c r="AE292" i="10" s="1"/>
  <c r="AJ292" i="10"/>
  <c r="AD292" i="10" s="1"/>
  <c r="AI292" i="10"/>
  <c r="AH292" i="10"/>
  <c r="AG292" i="10"/>
  <c r="AA292" i="10" s="1"/>
  <c r="S292" i="10"/>
  <c r="R292" i="10"/>
  <c r="Q292" i="10"/>
  <c r="P292" i="10"/>
  <c r="O292" i="10"/>
  <c r="AK291" i="10"/>
  <c r="AE291" i="10" s="1"/>
  <c r="AJ291" i="10"/>
  <c r="X291" i="10" s="1"/>
  <c r="AI291" i="10"/>
  <c r="AH291" i="10"/>
  <c r="AB291" i="10" s="1"/>
  <c r="AG291" i="10"/>
  <c r="S291" i="10"/>
  <c r="R291" i="10"/>
  <c r="Q291" i="10"/>
  <c r="P291" i="10"/>
  <c r="O291" i="10"/>
  <c r="S290" i="10"/>
  <c r="AK290" i="10" s="1"/>
  <c r="AE290" i="10" s="1"/>
  <c r="R290" i="10"/>
  <c r="AJ290" i="10" s="1"/>
  <c r="X290" i="10" s="1"/>
  <c r="Q290" i="10"/>
  <c r="AI290" i="10" s="1"/>
  <c r="P290" i="10"/>
  <c r="AH290" i="10" s="1"/>
  <c r="O290" i="10"/>
  <c r="AG290" i="10" s="1"/>
  <c r="AA290" i="10" s="1"/>
  <c r="S289" i="10"/>
  <c r="AK289" i="10" s="1"/>
  <c r="AE289" i="10" s="1"/>
  <c r="R289" i="10"/>
  <c r="AJ289" i="10" s="1"/>
  <c r="X289" i="10" s="1"/>
  <c r="Q289" i="10"/>
  <c r="AI289" i="10" s="1"/>
  <c r="P289" i="10"/>
  <c r="AH289" i="10" s="1"/>
  <c r="O289" i="10"/>
  <c r="AG289" i="10" s="1"/>
  <c r="AA289" i="10" s="1"/>
  <c r="S288" i="10"/>
  <c r="AK288" i="10" s="1"/>
  <c r="R288" i="10"/>
  <c r="AJ288" i="10" s="1"/>
  <c r="X288" i="10" s="1"/>
  <c r="Q288" i="10"/>
  <c r="AI288" i="10" s="1"/>
  <c r="P288" i="10"/>
  <c r="AH288" i="10" s="1"/>
  <c r="O288" i="10"/>
  <c r="AG288" i="10" s="1"/>
  <c r="AK287" i="10"/>
  <c r="AJ287" i="10"/>
  <c r="X287" i="10" s="1"/>
  <c r="AI287" i="10"/>
  <c r="AH287" i="10"/>
  <c r="AB287" i="10" s="1"/>
  <c r="AG287" i="10"/>
  <c r="S287" i="10"/>
  <c r="R287" i="10"/>
  <c r="Q287" i="10"/>
  <c r="P287" i="10"/>
  <c r="O287" i="10"/>
  <c r="S286" i="10"/>
  <c r="AK286" i="10" s="1"/>
  <c r="AE286" i="10" s="1"/>
  <c r="R286" i="10"/>
  <c r="AJ286" i="10" s="1"/>
  <c r="Q286" i="10"/>
  <c r="AI286" i="10" s="1"/>
  <c r="P286" i="10"/>
  <c r="AH286" i="10" s="1"/>
  <c r="O286" i="10"/>
  <c r="AG286" i="10" s="1"/>
  <c r="AA286" i="10" s="1"/>
  <c r="S285" i="10"/>
  <c r="AK285" i="10" s="1"/>
  <c r="R285" i="10"/>
  <c r="AJ285" i="10" s="1"/>
  <c r="X285" i="10" s="1"/>
  <c r="Q285" i="10"/>
  <c r="AI285" i="10" s="1"/>
  <c r="P285" i="10"/>
  <c r="AH285" i="10" s="1"/>
  <c r="O285" i="10"/>
  <c r="AG285" i="10" s="1"/>
  <c r="S284" i="10"/>
  <c r="AK284" i="10" s="1"/>
  <c r="AE284" i="10" s="1"/>
  <c r="R284" i="10"/>
  <c r="AJ284" i="10" s="1"/>
  <c r="X284" i="10" s="1"/>
  <c r="Q284" i="10"/>
  <c r="AI284" i="10" s="1"/>
  <c r="P284" i="10"/>
  <c r="AH284" i="10" s="1"/>
  <c r="O284" i="10"/>
  <c r="AG284" i="10" s="1"/>
  <c r="AA284" i="10" s="1"/>
  <c r="S283" i="10"/>
  <c r="AK283" i="10" s="1"/>
  <c r="R283" i="10"/>
  <c r="AJ283" i="10" s="1"/>
  <c r="X283" i="10" s="1"/>
  <c r="Q283" i="10"/>
  <c r="AI283" i="10" s="1"/>
  <c r="P283" i="10"/>
  <c r="AH283" i="10" s="1"/>
  <c r="O283" i="10"/>
  <c r="AG283" i="10" s="1"/>
  <c r="AA283" i="10" s="1"/>
  <c r="S282" i="10"/>
  <c r="AK282" i="10" s="1"/>
  <c r="AE282" i="10" s="1"/>
  <c r="R282" i="10"/>
  <c r="AJ282" i="10" s="1"/>
  <c r="Q282" i="10"/>
  <c r="AI282" i="10" s="1"/>
  <c r="P282" i="10"/>
  <c r="AH282" i="10" s="1"/>
  <c r="O282" i="10"/>
  <c r="AG282" i="10" s="1"/>
  <c r="AA282" i="10" s="1"/>
  <c r="S281" i="10"/>
  <c r="AK281" i="10" s="1"/>
  <c r="R281" i="10"/>
  <c r="AJ281" i="10" s="1"/>
  <c r="X281" i="10" s="1"/>
  <c r="Q281" i="10"/>
  <c r="AI281" i="10" s="1"/>
  <c r="P281" i="10"/>
  <c r="AH281" i="10" s="1"/>
  <c r="O281" i="10"/>
  <c r="AG281" i="10" s="1"/>
  <c r="AK280" i="10"/>
  <c r="AE280" i="10" s="1"/>
  <c r="AJ280" i="10"/>
  <c r="X280" i="10" s="1"/>
  <c r="AI280" i="10"/>
  <c r="AH280" i="10"/>
  <c r="V280" i="10" s="1"/>
  <c r="AG280" i="10"/>
  <c r="AA280" i="10" s="1"/>
  <c r="S280" i="10"/>
  <c r="R280" i="10"/>
  <c r="Q280" i="10"/>
  <c r="P280" i="10"/>
  <c r="O280" i="10"/>
  <c r="AK279" i="10"/>
  <c r="AE279" i="10" s="1"/>
  <c r="AJ279" i="10"/>
  <c r="X279" i="10" s="1"/>
  <c r="AI279" i="10"/>
  <c r="AH279" i="10"/>
  <c r="V279" i="10" s="1"/>
  <c r="AG279" i="10"/>
  <c r="AA279" i="10" s="1"/>
  <c r="S279" i="10"/>
  <c r="R279" i="10"/>
  <c r="Q279" i="10"/>
  <c r="P279" i="10"/>
  <c r="O279" i="10"/>
  <c r="S278" i="10"/>
  <c r="AK278" i="10" s="1"/>
  <c r="R278" i="10"/>
  <c r="AJ278" i="10" s="1"/>
  <c r="X278" i="10" s="1"/>
  <c r="Q278" i="10"/>
  <c r="AI278" i="10" s="1"/>
  <c r="P278" i="10"/>
  <c r="AH278" i="10" s="1"/>
  <c r="O278" i="10"/>
  <c r="AG278" i="10" s="1"/>
  <c r="AA278" i="10" s="1"/>
  <c r="S277" i="10"/>
  <c r="AK277" i="10" s="1"/>
  <c r="R277" i="10"/>
  <c r="AJ277" i="10" s="1"/>
  <c r="X277" i="10" s="1"/>
  <c r="Q277" i="10"/>
  <c r="AI277" i="10" s="1"/>
  <c r="P277" i="10"/>
  <c r="AH277" i="10" s="1"/>
  <c r="O277" i="10"/>
  <c r="AG277" i="10" s="1"/>
  <c r="AA277" i="10" s="1"/>
  <c r="AE276" i="10"/>
  <c r="AD276" i="10"/>
  <c r="AC276" i="10"/>
  <c r="AB276" i="10"/>
  <c r="AA276" i="10"/>
  <c r="Y276" i="10"/>
  <c r="X276" i="10"/>
  <c r="W276" i="10"/>
  <c r="V276" i="10"/>
  <c r="U276" i="10"/>
  <c r="S276" i="10"/>
  <c r="R276" i="10"/>
  <c r="Q276" i="10"/>
  <c r="P276" i="10"/>
  <c r="O276" i="10"/>
  <c r="S275" i="10"/>
  <c r="AK275" i="10" s="1"/>
  <c r="R275" i="10"/>
  <c r="AJ275" i="10" s="1"/>
  <c r="AD275" i="10" s="1"/>
  <c r="Q275" i="10"/>
  <c r="AI275" i="10" s="1"/>
  <c r="W275" i="10" s="1"/>
  <c r="P275" i="10"/>
  <c r="AH275" i="10" s="1"/>
  <c r="O275" i="10"/>
  <c r="AG275" i="10" s="1"/>
  <c r="S274" i="10"/>
  <c r="AK274" i="10" s="1"/>
  <c r="R274" i="10"/>
  <c r="AJ274" i="10" s="1"/>
  <c r="AD274" i="10" s="1"/>
  <c r="Q274" i="10"/>
  <c r="AI274" i="10" s="1"/>
  <c r="W274" i="10" s="1"/>
  <c r="P274" i="10"/>
  <c r="AH274" i="10" s="1"/>
  <c r="O274" i="10"/>
  <c r="AG274" i="10" s="1"/>
  <c r="S273" i="10"/>
  <c r="AK273" i="10" s="1"/>
  <c r="R273" i="10"/>
  <c r="AJ273" i="10" s="1"/>
  <c r="Q273" i="10"/>
  <c r="AI273" i="10" s="1"/>
  <c r="W273" i="10" s="1"/>
  <c r="P273" i="10"/>
  <c r="AH273" i="10" s="1"/>
  <c r="O273" i="10"/>
  <c r="AG273" i="10" s="1"/>
  <c r="S272" i="10"/>
  <c r="AK272" i="10" s="1"/>
  <c r="R272" i="10"/>
  <c r="AJ272" i="10" s="1"/>
  <c r="Q272" i="10"/>
  <c r="AI272" i="10" s="1"/>
  <c r="W272" i="10" s="1"/>
  <c r="P272" i="10"/>
  <c r="AH272" i="10" s="1"/>
  <c r="O272" i="10"/>
  <c r="AG272" i="10" s="1"/>
  <c r="S271" i="10"/>
  <c r="AK271" i="10" s="1"/>
  <c r="R271" i="10"/>
  <c r="AJ271" i="10" s="1"/>
  <c r="AD271" i="10" s="1"/>
  <c r="Q271" i="10"/>
  <c r="AI271" i="10" s="1"/>
  <c r="W271" i="10" s="1"/>
  <c r="P271" i="10"/>
  <c r="AH271" i="10" s="1"/>
  <c r="O271" i="10"/>
  <c r="AG271" i="10" s="1"/>
  <c r="S270" i="10"/>
  <c r="AK270" i="10" s="1"/>
  <c r="R270" i="10"/>
  <c r="AJ270" i="10" s="1"/>
  <c r="Q270" i="10"/>
  <c r="AI270" i="10" s="1"/>
  <c r="W270" i="10" s="1"/>
  <c r="P270" i="10"/>
  <c r="AH270" i="10" s="1"/>
  <c r="O270" i="10"/>
  <c r="AG270" i="10" s="1"/>
  <c r="S269" i="10"/>
  <c r="AK269" i="10" s="1"/>
  <c r="R269" i="10"/>
  <c r="AJ269" i="10" s="1"/>
  <c r="Q269" i="10"/>
  <c r="AI269" i="10" s="1"/>
  <c r="W269" i="10" s="1"/>
  <c r="P269" i="10"/>
  <c r="AH269" i="10" s="1"/>
  <c r="O269" i="10"/>
  <c r="AG269" i="10" s="1"/>
  <c r="AK268" i="10"/>
  <c r="Y268" i="10" s="1"/>
  <c r="AJ268" i="10"/>
  <c r="AI268" i="10"/>
  <c r="W268" i="10" s="1"/>
  <c r="AH268" i="10"/>
  <c r="AG268" i="10"/>
  <c r="AA268" i="10" s="1"/>
  <c r="S268" i="10"/>
  <c r="R268" i="10"/>
  <c r="Q268" i="10"/>
  <c r="P268" i="10"/>
  <c r="O268" i="10"/>
  <c r="S267" i="10"/>
  <c r="AK267" i="10" s="1"/>
  <c r="R267" i="10"/>
  <c r="AJ267" i="10" s="1"/>
  <c r="Q267" i="10"/>
  <c r="AI267" i="10" s="1"/>
  <c r="W267" i="10" s="1"/>
  <c r="P267" i="10"/>
  <c r="AH267" i="10" s="1"/>
  <c r="O267" i="10"/>
  <c r="AG267" i="10" s="1"/>
  <c r="AK266" i="10"/>
  <c r="AE266" i="10" s="1"/>
  <c r="AJ266" i="10"/>
  <c r="AD266" i="10" s="1"/>
  <c r="AI266" i="10"/>
  <c r="AH266" i="10"/>
  <c r="AG266" i="10"/>
  <c r="AA266" i="10" s="1"/>
  <c r="S266" i="10"/>
  <c r="R266" i="10"/>
  <c r="Q266" i="10"/>
  <c r="P266" i="10"/>
  <c r="O266" i="10"/>
  <c r="S265" i="10"/>
  <c r="AK265" i="10" s="1"/>
  <c r="R265" i="10"/>
  <c r="AJ265" i="10" s="1"/>
  <c r="AD265" i="10" s="1"/>
  <c r="Q265" i="10"/>
  <c r="AI265" i="10" s="1"/>
  <c r="W265" i="10" s="1"/>
  <c r="P265" i="10"/>
  <c r="AH265" i="10" s="1"/>
  <c r="O265" i="10"/>
  <c r="AG265" i="10" s="1"/>
  <c r="S264" i="10"/>
  <c r="AK264" i="10" s="1"/>
  <c r="R264" i="10"/>
  <c r="AJ264" i="10" s="1"/>
  <c r="AD264" i="10" s="1"/>
  <c r="Q264" i="10"/>
  <c r="AI264" i="10" s="1"/>
  <c r="W264" i="10" s="1"/>
  <c r="P264" i="10"/>
  <c r="AH264" i="10" s="1"/>
  <c r="O264" i="10"/>
  <c r="AG264" i="10" s="1"/>
  <c r="S263" i="10"/>
  <c r="AK263" i="10" s="1"/>
  <c r="R263" i="10"/>
  <c r="AJ263" i="10" s="1"/>
  <c r="Q263" i="10"/>
  <c r="AI263" i="10" s="1"/>
  <c r="W263" i="10" s="1"/>
  <c r="P263" i="10"/>
  <c r="AH263" i="10" s="1"/>
  <c r="O263" i="10"/>
  <c r="AG263" i="10" s="1"/>
  <c r="S262" i="10"/>
  <c r="AK262" i="10" s="1"/>
  <c r="R262" i="10"/>
  <c r="AJ262" i="10" s="1"/>
  <c r="AD262" i="10" s="1"/>
  <c r="Q262" i="10"/>
  <c r="AI262" i="10" s="1"/>
  <c r="W262" i="10" s="1"/>
  <c r="P262" i="10"/>
  <c r="AH262" i="10" s="1"/>
  <c r="O262" i="10"/>
  <c r="AG262" i="10" s="1"/>
  <c r="S261" i="10"/>
  <c r="AK261" i="10" s="1"/>
  <c r="R261" i="10"/>
  <c r="AJ261" i="10" s="1"/>
  <c r="AD261" i="10" s="1"/>
  <c r="Q261" i="10"/>
  <c r="AI261" i="10" s="1"/>
  <c r="W261" i="10" s="1"/>
  <c r="P261" i="10"/>
  <c r="AH261" i="10" s="1"/>
  <c r="O261" i="10"/>
  <c r="AG261" i="10" s="1"/>
  <c r="S260" i="10"/>
  <c r="AK260" i="10" s="1"/>
  <c r="R260" i="10"/>
  <c r="AJ260" i="10" s="1"/>
  <c r="AD260" i="10" s="1"/>
  <c r="Q260" i="10"/>
  <c r="AI260" i="10" s="1"/>
  <c r="W260" i="10" s="1"/>
  <c r="P260" i="10"/>
  <c r="AH260" i="10" s="1"/>
  <c r="O260" i="10"/>
  <c r="AG260" i="10" s="1"/>
  <c r="S259" i="10"/>
  <c r="AK259" i="10" s="1"/>
  <c r="R259" i="10"/>
  <c r="AJ259" i="10" s="1"/>
  <c r="Q259" i="10"/>
  <c r="AI259" i="10" s="1"/>
  <c r="W259" i="10" s="1"/>
  <c r="P259" i="10"/>
  <c r="AH259" i="10" s="1"/>
  <c r="O259" i="10"/>
  <c r="AG259" i="10" s="1"/>
  <c r="S258" i="10"/>
  <c r="AK258" i="10" s="1"/>
  <c r="R258" i="10"/>
  <c r="AJ258" i="10" s="1"/>
  <c r="AD258" i="10" s="1"/>
  <c r="Q258" i="10"/>
  <c r="AI258" i="10" s="1"/>
  <c r="W258" i="10" s="1"/>
  <c r="P258" i="10"/>
  <c r="AH258" i="10" s="1"/>
  <c r="O258" i="10"/>
  <c r="AG258" i="10" s="1"/>
  <c r="S257" i="10"/>
  <c r="AK257" i="10" s="1"/>
  <c r="R257" i="10"/>
  <c r="AJ257" i="10" s="1"/>
  <c r="AD257" i="10" s="1"/>
  <c r="Q257" i="10"/>
  <c r="AI257" i="10" s="1"/>
  <c r="W257" i="10" s="1"/>
  <c r="P257" i="10"/>
  <c r="AH257" i="10" s="1"/>
  <c r="O257" i="10"/>
  <c r="AG257" i="10" s="1"/>
  <c r="S256" i="10"/>
  <c r="AK256" i="10" s="1"/>
  <c r="R256" i="10"/>
  <c r="AJ256" i="10" s="1"/>
  <c r="AD256" i="10" s="1"/>
  <c r="Q256" i="10"/>
  <c r="AI256" i="10" s="1"/>
  <c r="W256" i="10" s="1"/>
  <c r="P256" i="10"/>
  <c r="AH256" i="10" s="1"/>
  <c r="O256" i="10"/>
  <c r="AG256" i="10" s="1"/>
  <c r="AK255" i="10"/>
  <c r="Y255" i="10" s="1"/>
  <c r="AJ255" i="10"/>
  <c r="AI255" i="10"/>
  <c r="AC255" i="10" s="1"/>
  <c r="AH255" i="10"/>
  <c r="AG255" i="10"/>
  <c r="AA255" i="10" s="1"/>
  <c r="S255" i="10"/>
  <c r="R255" i="10"/>
  <c r="Q255" i="10"/>
  <c r="P255" i="10"/>
  <c r="O255" i="10"/>
  <c r="AK254" i="10"/>
  <c r="AE254" i="10" s="1"/>
  <c r="AJ254" i="10"/>
  <c r="X254" i="10" s="1"/>
  <c r="AI254" i="10"/>
  <c r="W254" i="10" s="1"/>
  <c r="AH254" i="10"/>
  <c r="AG254" i="10"/>
  <c r="AA254" i="10" s="1"/>
  <c r="S254" i="10"/>
  <c r="R254" i="10"/>
  <c r="Q254" i="10"/>
  <c r="P254" i="10"/>
  <c r="O254" i="10"/>
  <c r="S253" i="10"/>
  <c r="AK253" i="10" s="1"/>
  <c r="R253" i="10"/>
  <c r="AJ253" i="10" s="1"/>
  <c r="AD253" i="10" s="1"/>
  <c r="Q253" i="10"/>
  <c r="AI253" i="10" s="1"/>
  <c r="W253" i="10" s="1"/>
  <c r="P253" i="10"/>
  <c r="AH253" i="10" s="1"/>
  <c r="O253" i="10"/>
  <c r="AG253" i="10" s="1"/>
  <c r="S252" i="10"/>
  <c r="AK252" i="10" s="1"/>
  <c r="R252" i="10"/>
  <c r="AJ252" i="10" s="1"/>
  <c r="AD252" i="10" s="1"/>
  <c r="Q252" i="10"/>
  <c r="AI252" i="10" s="1"/>
  <c r="W252" i="10" s="1"/>
  <c r="P252" i="10"/>
  <c r="AH252" i="10" s="1"/>
  <c r="O252" i="10"/>
  <c r="AG252" i="10" s="1"/>
  <c r="AE251" i="10"/>
  <c r="AD251" i="10"/>
  <c r="AC251" i="10"/>
  <c r="AB251" i="10"/>
  <c r="AA251" i="10"/>
  <c r="Y251" i="10"/>
  <c r="X251" i="10"/>
  <c r="W251" i="10"/>
  <c r="V251" i="10"/>
  <c r="U251" i="10"/>
  <c r="S251" i="10"/>
  <c r="R251" i="10"/>
  <c r="Q251" i="10"/>
  <c r="P251" i="10"/>
  <c r="O251" i="10"/>
  <c r="AI250" i="10"/>
  <c r="W250" i="10" s="1"/>
  <c r="AE250" i="10"/>
  <c r="AD250" i="10"/>
  <c r="AB250" i="10"/>
  <c r="AA250" i="10"/>
  <c r="Y250" i="10"/>
  <c r="X250" i="10"/>
  <c r="V250" i="10"/>
  <c r="U250" i="10"/>
  <c r="S250" i="10"/>
  <c r="R250" i="10"/>
  <c r="P250" i="10"/>
  <c r="O250" i="10"/>
  <c r="S249" i="10"/>
  <c r="AK249" i="10" s="1"/>
  <c r="R249" i="10"/>
  <c r="AJ249" i="10" s="1"/>
  <c r="Q249" i="10"/>
  <c r="AI249" i="10" s="1"/>
  <c r="AC249" i="10" s="1"/>
  <c r="P249" i="10"/>
  <c r="AH249" i="10" s="1"/>
  <c r="V249" i="10" s="1"/>
  <c r="O249" i="10"/>
  <c r="AG249" i="10" s="1"/>
  <c r="S248" i="10"/>
  <c r="AK248" i="10" s="1"/>
  <c r="R248" i="10"/>
  <c r="AJ248" i="10" s="1"/>
  <c r="Q248" i="10"/>
  <c r="AI248" i="10" s="1"/>
  <c r="AC248" i="10" s="1"/>
  <c r="P248" i="10"/>
  <c r="AH248" i="10" s="1"/>
  <c r="O248" i="10"/>
  <c r="AG248" i="10" s="1"/>
  <c r="S247" i="10"/>
  <c r="AK247" i="10" s="1"/>
  <c r="R247" i="10"/>
  <c r="AJ247" i="10" s="1"/>
  <c r="Q247" i="10"/>
  <c r="AI247" i="10" s="1"/>
  <c r="AC247" i="10" s="1"/>
  <c r="P247" i="10"/>
  <c r="AH247" i="10" s="1"/>
  <c r="V247" i="10" s="1"/>
  <c r="O247" i="10"/>
  <c r="AG247" i="10" s="1"/>
  <c r="S246" i="10"/>
  <c r="AK246" i="10" s="1"/>
  <c r="R246" i="10"/>
  <c r="AJ246" i="10" s="1"/>
  <c r="Q246" i="10"/>
  <c r="AI246" i="10" s="1"/>
  <c r="AC246" i="10" s="1"/>
  <c r="P246" i="10"/>
  <c r="AH246" i="10" s="1"/>
  <c r="V246" i="10" s="1"/>
  <c r="O246" i="10"/>
  <c r="AG246" i="10" s="1"/>
  <c r="S245" i="10"/>
  <c r="AK245" i="10" s="1"/>
  <c r="R245" i="10"/>
  <c r="AJ245" i="10" s="1"/>
  <c r="Q245" i="10"/>
  <c r="AI245" i="10" s="1"/>
  <c r="AC245" i="10" s="1"/>
  <c r="P245" i="10"/>
  <c r="AH245" i="10" s="1"/>
  <c r="O245" i="10"/>
  <c r="AG245" i="10" s="1"/>
  <c r="AK244" i="10"/>
  <c r="AJ244" i="10"/>
  <c r="AD244" i="10" s="1"/>
  <c r="AI244" i="10"/>
  <c r="AH244" i="10"/>
  <c r="AB244" i="10" s="1"/>
  <c r="AG244" i="10"/>
  <c r="S244" i="10"/>
  <c r="R244" i="10"/>
  <c r="Q244" i="10"/>
  <c r="P244" i="10"/>
  <c r="O244" i="10"/>
  <c r="S243" i="10"/>
  <c r="AK243" i="10" s="1"/>
  <c r="R243" i="10"/>
  <c r="AJ243" i="10" s="1"/>
  <c r="Q243" i="10"/>
  <c r="AI243" i="10" s="1"/>
  <c r="AC243" i="10" s="1"/>
  <c r="P243" i="10"/>
  <c r="AH243" i="10" s="1"/>
  <c r="V243" i="10" s="1"/>
  <c r="O243" i="10"/>
  <c r="AG243" i="10" s="1"/>
  <c r="S242" i="10"/>
  <c r="AK242" i="10" s="1"/>
  <c r="R242" i="10"/>
  <c r="AJ242" i="10" s="1"/>
  <c r="Q242" i="10"/>
  <c r="AI242" i="10" s="1"/>
  <c r="AC242" i="10" s="1"/>
  <c r="P242" i="10"/>
  <c r="AH242" i="10" s="1"/>
  <c r="V242" i="10" s="1"/>
  <c r="O242" i="10"/>
  <c r="AG242" i="10" s="1"/>
  <c r="S241" i="10"/>
  <c r="AK241" i="10" s="1"/>
  <c r="R241" i="10"/>
  <c r="AJ241" i="10" s="1"/>
  <c r="Q241" i="10"/>
  <c r="AI241" i="10" s="1"/>
  <c r="AC241" i="10" s="1"/>
  <c r="P241" i="10"/>
  <c r="AH241" i="10" s="1"/>
  <c r="O241" i="10"/>
  <c r="AG241" i="10" s="1"/>
  <c r="S240" i="10"/>
  <c r="AK240" i="10" s="1"/>
  <c r="R240" i="10"/>
  <c r="AJ240" i="10" s="1"/>
  <c r="Q240" i="10"/>
  <c r="AI240" i="10" s="1"/>
  <c r="P240" i="10"/>
  <c r="AH240" i="10" s="1"/>
  <c r="V240" i="10" s="1"/>
  <c r="O240" i="10"/>
  <c r="AG240" i="10" s="1"/>
  <c r="S239" i="10"/>
  <c r="AK239" i="10" s="1"/>
  <c r="R239" i="10"/>
  <c r="AJ239" i="10" s="1"/>
  <c r="Q239" i="10"/>
  <c r="AI239" i="10" s="1"/>
  <c r="AC239" i="10" s="1"/>
  <c r="P239" i="10"/>
  <c r="AH239" i="10" s="1"/>
  <c r="V239" i="10" s="1"/>
  <c r="O239" i="10"/>
  <c r="AG239" i="10" s="1"/>
  <c r="S238" i="10"/>
  <c r="AK238" i="10" s="1"/>
  <c r="R238" i="10"/>
  <c r="AJ238" i="10" s="1"/>
  <c r="Q238" i="10"/>
  <c r="AI238" i="10" s="1"/>
  <c r="AC238" i="10" s="1"/>
  <c r="P238" i="10"/>
  <c r="AH238" i="10" s="1"/>
  <c r="O238" i="10"/>
  <c r="AG238" i="10" s="1"/>
  <c r="AE237" i="10"/>
  <c r="AD237" i="10"/>
  <c r="AC237" i="10"/>
  <c r="AB237" i="10"/>
  <c r="AA237" i="10"/>
  <c r="Y237" i="10"/>
  <c r="X237" i="10"/>
  <c r="W237" i="10"/>
  <c r="V237" i="10"/>
  <c r="U237" i="10"/>
  <c r="S237" i="10"/>
  <c r="R237" i="10"/>
  <c r="Q237" i="10"/>
  <c r="P237" i="10"/>
  <c r="O237" i="10"/>
  <c r="AE236" i="10"/>
  <c r="AD236" i="10"/>
  <c r="AC236" i="10"/>
  <c r="AB236" i="10"/>
  <c r="AA236" i="10"/>
  <c r="Y236" i="10"/>
  <c r="X236" i="10"/>
  <c r="W236" i="10"/>
  <c r="V236" i="10"/>
  <c r="U236" i="10"/>
  <c r="S236" i="10"/>
  <c r="R236" i="10"/>
  <c r="Q236" i="10"/>
  <c r="P236" i="10"/>
  <c r="O236" i="10"/>
  <c r="S235" i="10"/>
  <c r="AK235" i="10" s="1"/>
  <c r="R235" i="10"/>
  <c r="AJ235" i="10" s="1"/>
  <c r="X235" i="10" s="1"/>
  <c r="Q235" i="10"/>
  <c r="AI235" i="10" s="1"/>
  <c r="P235" i="10"/>
  <c r="AH235" i="10" s="1"/>
  <c r="O235" i="10"/>
  <c r="AG235" i="10" s="1"/>
  <c r="S234" i="10"/>
  <c r="AK234" i="10" s="1"/>
  <c r="R234" i="10"/>
  <c r="AJ234" i="10" s="1"/>
  <c r="X234" i="10" s="1"/>
  <c r="Q234" i="10"/>
  <c r="AI234" i="10" s="1"/>
  <c r="P234" i="10"/>
  <c r="AH234" i="10" s="1"/>
  <c r="O234" i="10"/>
  <c r="AG234" i="10" s="1"/>
  <c r="S233" i="10"/>
  <c r="AK233" i="10" s="1"/>
  <c r="AE233" i="10" s="1"/>
  <c r="R233" i="10"/>
  <c r="AJ233" i="10" s="1"/>
  <c r="Q233" i="10"/>
  <c r="AI233" i="10" s="1"/>
  <c r="P233" i="10"/>
  <c r="AH233" i="10" s="1"/>
  <c r="O233" i="10"/>
  <c r="AG233" i="10" s="1"/>
  <c r="AA233" i="10" s="1"/>
  <c r="S232" i="10"/>
  <c r="AK232" i="10" s="1"/>
  <c r="R232" i="10"/>
  <c r="AJ232" i="10" s="1"/>
  <c r="Q232" i="10"/>
  <c r="AI232" i="10" s="1"/>
  <c r="P232" i="10"/>
  <c r="AH232" i="10" s="1"/>
  <c r="O232" i="10"/>
  <c r="AG232" i="10" s="1"/>
  <c r="S231" i="10"/>
  <c r="AK231" i="10" s="1"/>
  <c r="R231" i="10"/>
  <c r="AJ231" i="10" s="1"/>
  <c r="AD231" i="10" s="1"/>
  <c r="Q231" i="10"/>
  <c r="AI231" i="10" s="1"/>
  <c r="P231" i="10"/>
  <c r="AH231" i="10" s="1"/>
  <c r="O231" i="10"/>
  <c r="AG231" i="10" s="1"/>
  <c r="S230" i="10"/>
  <c r="AK230" i="10" s="1"/>
  <c r="R230" i="10"/>
  <c r="AJ230" i="10" s="1"/>
  <c r="AD230" i="10" s="1"/>
  <c r="Q230" i="10"/>
  <c r="AI230" i="10" s="1"/>
  <c r="P230" i="10"/>
  <c r="AH230" i="10" s="1"/>
  <c r="O230" i="10"/>
  <c r="AG230" i="10" s="1"/>
  <c r="S229" i="10"/>
  <c r="AK229" i="10" s="1"/>
  <c r="R229" i="10"/>
  <c r="AJ229" i="10" s="1"/>
  <c r="AD229" i="10" s="1"/>
  <c r="Q229" i="10"/>
  <c r="AI229" i="10" s="1"/>
  <c r="W229" i="10" s="1"/>
  <c r="P229" i="10"/>
  <c r="AH229" i="10" s="1"/>
  <c r="O229" i="10"/>
  <c r="AG229" i="10" s="1"/>
  <c r="AK228" i="10"/>
  <c r="AE228" i="10" s="1"/>
  <c r="AJ228" i="10"/>
  <c r="AD228" i="10" s="1"/>
  <c r="AI228" i="10"/>
  <c r="W228" i="10" s="1"/>
  <c r="AH228" i="10"/>
  <c r="AG228" i="10"/>
  <c r="U228" i="10" s="1"/>
  <c r="S228" i="10"/>
  <c r="R228" i="10"/>
  <c r="Q228" i="10"/>
  <c r="P228" i="10"/>
  <c r="O228" i="10"/>
  <c r="S227" i="10"/>
  <c r="AK227" i="10" s="1"/>
  <c r="R227" i="10"/>
  <c r="AJ227" i="10" s="1"/>
  <c r="AD227" i="10" s="1"/>
  <c r="Q227" i="10"/>
  <c r="AI227" i="10" s="1"/>
  <c r="W227" i="10" s="1"/>
  <c r="P227" i="10"/>
  <c r="AH227" i="10" s="1"/>
  <c r="O227" i="10"/>
  <c r="AG227" i="10" s="1"/>
  <c r="AK226" i="10"/>
  <c r="AE226" i="10" s="1"/>
  <c r="AJ226" i="10"/>
  <c r="X226" i="10" s="1"/>
  <c r="AI226" i="10"/>
  <c r="AH226" i="10"/>
  <c r="AG226" i="10"/>
  <c r="AA226" i="10" s="1"/>
  <c r="S226" i="10"/>
  <c r="R226" i="10"/>
  <c r="Q226" i="10"/>
  <c r="P226" i="10"/>
  <c r="O226" i="10"/>
  <c r="S225" i="10"/>
  <c r="AK225" i="10" s="1"/>
  <c r="R225" i="10"/>
  <c r="AJ225" i="10" s="1"/>
  <c r="AD225" i="10" s="1"/>
  <c r="Q225" i="10"/>
  <c r="AI225" i="10" s="1"/>
  <c r="W225" i="10" s="1"/>
  <c r="P225" i="10"/>
  <c r="AH225" i="10" s="1"/>
  <c r="O225" i="10"/>
  <c r="AG225" i="10" s="1"/>
  <c r="S224" i="10"/>
  <c r="AK224" i="10" s="1"/>
  <c r="R224" i="10"/>
  <c r="AJ224" i="10" s="1"/>
  <c r="AD224" i="10" s="1"/>
  <c r="Q224" i="10"/>
  <c r="AI224" i="10" s="1"/>
  <c r="W224" i="10" s="1"/>
  <c r="P224" i="10"/>
  <c r="AH224" i="10" s="1"/>
  <c r="O224" i="10"/>
  <c r="AG224" i="10" s="1"/>
  <c r="S223" i="10"/>
  <c r="AK223" i="10" s="1"/>
  <c r="R223" i="10"/>
  <c r="AJ223" i="10" s="1"/>
  <c r="AD223" i="10" s="1"/>
  <c r="Q223" i="10"/>
  <c r="AI223" i="10" s="1"/>
  <c r="W223" i="10" s="1"/>
  <c r="P223" i="10"/>
  <c r="AH223" i="10" s="1"/>
  <c r="O223" i="10"/>
  <c r="AG223" i="10" s="1"/>
  <c r="S222" i="10"/>
  <c r="AK222" i="10" s="1"/>
  <c r="R222" i="10"/>
  <c r="AJ222" i="10" s="1"/>
  <c r="AD222" i="10" s="1"/>
  <c r="Q222" i="10"/>
  <c r="AI222" i="10" s="1"/>
  <c r="W222" i="10" s="1"/>
  <c r="P222" i="10"/>
  <c r="AH222" i="10" s="1"/>
  <c r="O222" i="10"/>
  <c r="AG222" i="10" s="1"/>
  <c r="S221" i="10"/>
  <c r="AK221" i="10" s="1"/>
  <c r="R221" i="10"/>
  <c r="AJ221" i="10" s="1"/>
  <c r="AD221" i="10" s="1"/>
  <c r="Q221" i="10"/>
  <c r="AI221" i="10" s="1"/>
  <c r="W221" i="10" s="1"/>
  <c r="P221" i="10"/>
  <c r="AH221" i="10" s="1"/>
  <c r="O221" i="10"/>
  <c r="AG221" i="10" s="1"/>
  <c r="S220" i="10"/>
  <c r="AK220" i="10" s="1"/>
  <c r="R220" i="10"/>
  <c r="AJ220" i="10" s="1"/>
  <c r="AD220" i="10" s="1"/>
  <c r="Q220" i="10"/>
  <c r="AI220" i="10" s="1"/>
  <c r="W220" i="10" s="1"/>
  <c r="P220" i="10"/>
  <c r="AH220" i="10" s="1"/>
  <c r="O220" i="10"/>
  <c r="AG220" i="10" s="1"/>
  <c r="AK219" i="10"/>
  <c r="AJ219" i="10"/>
  <c r="AI219" i="10"/>
  <c r="AC219" i="10" s="1"/>
  <c r="AH219" i="10"/>
  <c r="AG219" i="10"/>
  <c r="S219" i="10"/>
  <c r="R219" i="10"/>
  <c r="Q219" i="10"/>
  <c r="P219" i="10"/>
  <c r="O219" i="10"/>
  <c r="S218" i="10"/>
  <c r="AK218" i="10" s="1"/>
  <c r="R218" i="10"/>
  <c r="AJ218" i="10" s="1"/>
  <c r="AD218" i="10" s="1"/>
  <c r="Q218" i="10"/>
  <c r="AI218" i="10" s="1"/>
  <c r="W218" i="10" s="1"/>
  <c r="P218" i="10"/>
  <c r="AH218" i="10" s="1"/>
  <c r="O218" i="10"/>
  <c r="AG218" i="10" s="1"/>
  <c r="S217" i="10"/>
  <c r="AK217" i="10" s="1"/>
  <c r="R217" i="10"/>
  <c r="AJ217" i="10" s="1"/>
  <c r="AD217" i="10" s="1"/>
  <c r="Q217" i="10"/>
  <c r="AI217" i="10" s="1"/>
  <c r="W217" i="10" s="1"/>
  <c r="P217" i="10"/>
  <c r="AH217" i="10" s="1"/>
  <c r="O217" i="10"/>
  <c r="AG217" i="10" s="1"/>
  <c r="S216" i="10"/>
  <c r="AK216" i="10" s="1"/>
  <c r="R216" i="10"/>
  <c r="AJ216" i="10" s="1"/>
  <c r="Q216" i="10"/>
  <c r="AI216" i="10" s="1"/>
  <c r="W216" i="10" s="1"/>
  <c r="P216" i="10"/>
  <c r="AH216" i="10" s="1"/>
  <c r="O216" i="10"/>
  <c r="AG216" i="10" s="1"/>
  <c r="S215" i="10"/>
  <c r="AK215" i="10" s="1"/>
  <c r="R215" i="10"/>
  <c r="AJ215" i="10" s="1"/>
  <c r="AD215" i="10" s="1"/>
  <c r="Q215" i="10"/>
  <c r="AI215" i="10" s="1"/>
  <c r="W215" i="10" s="1"/>
  <c r="P215" i="10"/>
  <c r="AH215" i="10" s="1"/>
  <c r="O215" i="10"/>
  <c r="AG215" i="10" s="1"/>
  <c r="S214" i="10"/>
  <c r="AK214" i="10" s="1"/>
  <c r="R214" i="10"/>
  <c r="AJ214" i="10" s="1"/>
  <c r="AD214" i="10" s="1"/>
  <c r="Q214" i="10"/>
  <c r="AI214" i="10" s="1"/>
  <c r="W214" i="10" s="1"/>
  <c r="P214" i="10"/>
  <c r="AH214" i="10" s="1"/>
  <c r="O214" i="10"/>
  <c r="AG214" i="10" s="1"/>
  <c r="S213" i="10"/>
  <c r="AK213" i="10" s="1"/>
  <c r="R213" i="10"/>
  <c r="AJ213" i="10" s="1"/>
  <c r="AD213" i="10" s="1"/>
  <c r="Q213" i="10"/>
  <c r="AI213" i="10" s="1"/>
  <c r="W213" i="10" s="1"/>
  <c r="P213" i="10"/>
  <c r="AH213" i="10" s="1"/>
  <c r="O213" i="10"/>
  <c r="AG213" i="10" s="1"/>
  <c r="S212" i="10"/>
  <c r="AK212" i="10" s="1"/>
  <c r="R212" i="10"/>
  <c r="AJ212" i="10" s="1"/>
  <c r="Q212" i="10"/>
  <c r="AI212" i="10" s="1"/>
  <c r="W212" i="10" s="1"/>
  <c r="P212" i="10"/>
  <c r="AH212" i="10" s="1"/>
  <c r="O212" i="10"/>
  <c r="AG212" i="10" s="1"/>
  <c r="S211" i="10"/>
  <c r="AK211" i="10" s="1"/>
  <c r="R211" i="10"/>
  <c r="AJ211" i="10" s="1"/>
  <c r="AD211" i="10" s="1"/>
  <c r="Q211" i="10"/>
  <c r="AI211" i="10" s="1"/>
  <c r="W211" i="10" s="1"/>
  <c r="P211" i="10"/>
  <c r="AH211" i="10" s="1"/>
  <c r="O211" i="10"/>
  <c r="AG211" i="10" s="1"/>
  <c r="S210" i="10"/>
  <c r="AK210" i="10" s="1"/>
  <c r="R210" i="10"/>
  <c r="AJ210" i="10" s="1"/>
  <c r="AD210" i="10" s="1"/>
  <c r="Q210" i="10"/>
  <c r="AI210" i="10" s="1"/>
  <c r="W210" i="10" s="1"/>
  <c r="P210" i="10"/>
  <c r="AH210" i="10" s="1"/>
  <c r="O210" i="10"/>
  <c r="AG210" i="10" s="1"/>
  <c r="S209" i="10"/>
  <c r="AK209" i="10" s="1"/>
  <c r="R209" i="10"/>
  <c r="AJ209" i="10" s="1"/>
  <c r="AD209" i="10" s="1"/>
  <c r="Q209" i="10"/>
  <c r="AI209" i="10" s="1"/>
  <c r="W209" i="10" s="1"/>
  <c r="P209" i="10"/>
  <c r="AH209" i="10" s="1"/>
  <c r="O209" i="10"/>
  <c r="AG209" i="10" s="1"/>
  <c r="S208" i="10"/>
  <c r="AK208" i="10" s="1"/>
  <c r="R208" i="10"/>
  <c r="AJ208" i="10" s="1"/>
  <c r="Q208" i="10"/>
  <c r="AI208" i="10" s="1"/>
  <c r="W208" i="10" s="1"/>
  <c r="P208" i="10"/>
  <c r="AH208" i="10" s="1"/>
  <c r="O208" i="10"/>
  <c r="AG208" i="10" s="1"/>
  <c r="S207" i="10"/>
  <c r="AK207" i="10" s="1"/>
  <c r="R207" i="10"/>
  <c r="AJ207" i="10" s="1"/>
  <c r="AD207" i="10" s="1"/>
  <c r="Q207" i="10"/>
  <c r="AI207" i="10" s="1"/>
  <c r="W207" i="10" s="1"/>
  <c r="P207" i="10"/>
  <c r="AH207" i="10" s="1"/>
  <c r="O207" i="10"/>
  <c r="AG207" i="10" s="1"/>
  <c r="S206" i="10"/>
  <c r="AK206" i="10" s="1"/>
  <c r="R206" i="10"/>
  <c r="AJ206" i="10" s="1"/>
  <c r="AD206" i="10" s="1"/>
  <c r="Q206" i="10"/>
  <c r="AI206" i="10" s="1"/>
  <c r="W206" i="10" s="1"/>
  <c r="P206" i="10"/>
  <c r="AH206" i="10" s="1"/>
  <c r="O206" i="10"/>
  <c r="AG206" i="10" s="1"/>
  <c r="S205" i="10"/>
  <c r="AK205" i="10" s="1"/>
  <c r="R205" i="10"/>
  <c r="AJ205" i="10" s="1"/>
  <c r="AD205" i="10" s="1"/>
  <c r="Q205" i="10"/>
  <c r="AI205" i="10" s="1"/>
  <c r="W205" i="10" s="1"/>
  <c r="P205" i="10"/>
  <c r="AH205" i="10" s="1"/>
  <c r="O205" i="10"/>
  <c r="AG205" i="10" s="1"/>
  <c r="S204" i="10"/>
  <c r="AK204" i="10" s="1"/>
  <c r="R204" i="10"/>
  <c r="AJ204" i="10" s="1"/>
  <c r="Q204" i="10"/>
  <c r="AI204" i="10" s="1"/>
  <c r="W204" i="10" s="1"/>
  <c r="P204" i="10"/>
  <c r="AH204" i="10" s="1"/>
  <c r="O204" i="10"/>
  <c r="AG204" i="10" s="1"/>
  <c r="S203" i="10"/>
  <c r="AK203" i="10" s="1"/>
  <c r="R203" i="10"/>
  <c r="AJ203" i="10" s="1"/>
  <c r="AD203" i="10" s="1"/>
  <c r="Q203" i="10"/>
  <c r="AI203" i="10" s="1"/>
  <c r="W203" i="10" s="1"/>
  <c r="P203" i="10"/>
  <c r="AH203" i="10" s="1"/>
  <c r="O203" i="10"/>
  <c r="AG203" i="10" s="1"/>
  <c r="S202" i="10"/>
  <c r="AK202" i="10" s="1"/>
  <c r="R202" i="10"/>
  <c r="AJ202" i="10" s="1"/>
  <c r="AD202" i="10" s="1"/>
  <c r="Q202" i="10"/>
  <c r="AI202" i="10" s="1"/>
  <c r="W202" i="10" s="1"/>
  <c r="P202" i="10"/>
  <c r="AH202" i="10" s="1"/>
  <c r="O202" i="10"/>
  <c r="AG202" i="10" s="1"/>
  <c r="S201" i="10"/>
  <c r="AK201" i="10" s="1"/>
  <c r="R201" i="10"/>
  <c r="AJ201" i="10" s="1"/>
  <c r="AD201" i="10" s="1"/>
  <c r="Q201" i="10"/>
  <c r="AI201" i="10" s="1"/>
  <c r="W201" i="10" s="1"/>
  <c r="P201" i="10"/>
  <c r="AH201" i="10" s="1"/>
  <c r="O201" i="10"/>
  <c r="AG201" i="10" s="1"/>
  <c r="AK200" i="10"/>
  <c r="AE200" i="10" s="1"/>
  <c r="AJ200" i="10"/>
  <c r="AD200" i="10" s="1"/>
  <c r="AI200" i="10"/>
  <c r="W200" i="10" s="1"/>
  <c r="AH200" i="10"/>
  <c r="AG200" i="10"/>
  <c r="AA200" i="10" s="1"/>
  <c r="S200" i="10"/>
  <c r="R200" i="10"/>
  <c r="Q200" i="10"/>
  <c r="P200" i="10"/>
  <c r="O200" i="10"/>
  <c r="AK199" i="10"/>
  <c r="AE199" i="10" s="1"/>
  <c r="AJ199" i="10"/>
  <c r="AI199" i="10"/>
  <c r="W199" i="10" s="1"/>
  <c r="AH199" i="10"/>
  <c r="AG199" i="10"/>
  <c r="AA199" i="10" s="1"/>
  <c r="S199" i="10"/>
  <c r="R199" i="10"/>
  <c r="Q199" i="10"/>
  <c r="P199" i="10"/>
  <c r="O199" i="10"/>
  <c r="S198" i="10"/>
  <c r="AK198" i="10" s="1"/>
  <c r="R198" i="10"/>
  <c r="AJ198" i="10" s="1"/>
  <c r="Q198" i="10"/>
  <c r="AI198" i="10" s="1"/>
  <c r="W198" i="10" s="1"/>
  <c r="P198" i="10"/>
  <c r="AH198" i="10" s="1"/>
  <c r="O198" i="10"/>
  <c r="AG198" i="10" s="1"/>
  <c r="AI197" i="10"/>
  <c r="AC197" i="10" s="1"/>
  <c r="AE197" i="10"/>
  <c r="AD197" i="10"/>
  <c r="AB197" i="10"/>
  <c r="AA197" i="10"/>
  <c r="Y197" i="10"/>
  <c r="X197" i="10"/>
  <c r="V197" i="10"/>
  <c r="U197" i="10"/>
  <c r="S197" i="10"/>
  <c r="R197" i="10"/>
  <c r="P197" i="10"/>
  <c r="O197" i="10"/>
  <c r="S196" i="10"/>
  <c r="AK196" i="10" s="1"/>
  <c r="R196" i="10"/>
  <c r="AJ196" i="10" s="1"/>
  <c r="AD196" i="10" s="1"/>
  <c r="Q196" i="10"/>
  <c r="AI196" i="10" s="1"/>
  <c r="W196" i="10" s="1"/>
  <c r="P196" i="10"/>
  <c r="AH196" i="10" s="1"/>
  <c r="O196" i="10"/>
  <c r="AG196" i="10" s="1"/>
  <c r="S195" i="10"/>
  <c r="AK195" i="10" s="1"/>
  <c r="R195" i="10"/>
  <c r="AJ195" i="10" s="1"/>
  <c r="AD195" i="10" s="1"/>
  <c r="Q195" i="10"/>
  <c r="AI195" i="10" s="1"/>
  <c r="W195" i="10" s="1"/>
  <c r="P195" i="10"/>
  <c r="AH195" i="10" s="1"/>
  <c r="O195" i="10"/>
  <c r="AG195" i="10" s="1"/>
  <c r="AE194" i="10"/>
  <c r="AD194" i="10"/>
  <c r="AC194" i="10"/>
  <c r="AB194" i="10"/>
  <c r="AA194" i="10"/>
  <c r="Y194" i="10"/>
  <c r="X194" i="10"/>
  <c r="W194" i="10"/>
  <c r="V194" i="10"/>
  <c r="U194" i="10"/>
  <c r="S194" i="10"/>
  <c r="R194" i="10"/>
  <c r="Q194" i="10"/>
  <c r="P194" i="10"/>
  <c r="O194" i="10"/>
  <c r="S193" i="10"/>
  <c r="AK193" i="10" s="1"/>
  <c r="R193" i="10"/>
  <c r="AJ193" i="10" s="1"/>
  <c r="Q193" i="10"/>
  <c r="AI193" i="10" s="1"/>
  <c r="AC193" i="10" s="1"/>
  <c r="P193" i="10"/>
  <c r="AH193" i="10" s="1"/>
  <c r="V193" i="10" s="1"/>
  <c r="O193" i="10"/>
  <c r="AG193" i="10" s="1"/>
  <c r="S192" i="10"/>
  <c r="AK192" i="10" s="1"/>
  <c r="R192" i="10"/>
  <c r="AJ192" i="10" s="1"/>
  <c r="Q192" i="10"/>
  <c r="AI192" i="10" s="1"/>
  <c r="AC192" i="10" s="1"/>
  <c r="P192" i="10"/>
  <c r="AH192" i="10" s="1"/>
  <c r="V192" i="10" s="1"/>
  <c r="O192" i="10"/>
  <c r="AG192" i="10" s="1"/>
  <c r="S191" i="10"/>
  <c r="AK191" i="10" s="1"/>
  <c r="R191" i="10"/>
  <c r="AJ191" i="10" s="1"/>
  <c r="Q191" i="10"/>
  <c r="AI191" i="10" s="1"/>
  <c r="AC191" i="10" s="1"/>
  <c r="P191" i="10"/>
  <c r="AH191" i="10" s="1"/>
  <c r="V191" i="10" s="1"/>
  <c r="O191" i="10"/>
  <c r="AG191" i="10" s="1"/>
  <c r="S190" i="10"/>
  <c r="AK190" i="10" s="1"/>
  <c r="R190" i="10"/>
  <c r="AJ190" i="10" s="1"/>
  <c r="Q190" i="10"/>
  <c r="AI190" i="10" s="1"/>
  <c r="AC190" i="10" s="1"/>
  <c r="P190" i="10"/>
  <c r="AH190" i="10" s="1"/>
  <c r="V190" i="10" s="1"/>
  <c r="O190" i="10"/>
  <c r="AG190" i="10" s="1"/>
  <c r="S189" i="10"/>
  <c r="AK189" i="10" s="1"/>
  <c r="R189" i="10"/>
  <c r="AJ189" i="10" s="1"/>
  <c r="Q189" i="10"/>
  <c r="AI189" i="10" s="1"/>
  <c r="P189" i="10"/>
  <c r="AH189" i="10" s="1"/>
  <c r="V189" i="10" s="1"/>
  <c r="O189" i="10"/>
  <c r="AG189" i="10" s="1"/>
  <c r="S188" i="10"/>
  <c r="AK188" i="10" s="1"/>
  <c r="R188" i="10"/>
  <c r="AJ188" i="10" s="1"/>
  <c r="Q188" i="10"/>
  <c r="AI188" i="10" s="1"/>
  <c r="P188" i="10"/>
  <c r="AH188" i="10" s="1"/>
  <c r="V188" i="10" s="1"/>
  <c r="O188" i="10"/>
  <c r="AG188" i="10" s="1"/>
  <c r="S187" i="10"/>
  <c r="AK187" i="10" s="1"/>
  <c r="R187" i="10"/>
  <c r="AJ187" i="10" s="1"/>
  <c r="Q187" i="10"/>
  <c r="AI187" i="10" s="1"/>
  <c r="P187" i="10"/>
  <c r="AH187" i="10" s="1"/>
  <c r="V187" i="10" s="1"/>
  <c r="O187" i="10"/>
  <c r="AG187" i="10" s="1"/>
  <c r="S186" i="10"/>
  <c r="AK186" i="10" s="1"/>
  <c r="R186" i="10"/>
  <c r="AJ186" i="10" s="1"/>
  <c r="Q186" i="10"/>
  <c r="AI186" i="10" s="1"/>
  <c r="AC186" i="10" s="1"/>
  <c r="P186" i="10"/>
  <c r="AH186" i="10" s="1"/>
  <c r="V186" i="10" s="1"/>
  <c r="O186" i="10"/>
  <c r="AG186" i="10" s="1"/>
  <c r="S185" i="10"/>
  <c r="AK185" i="10" s="1"/>
  <c r="R185" i="10"/>
  <c r="AJ185" i="10" s="1"/>
  <c r="Q185" i="10"/>
  <c r="AI185" i="10" s="1"/>
  <c r="P185" i="10"/>
  <c r="AH185" i="10" s="1"/>
  <c r="V185" i="10" s="1"/>
  <c r="O185" i="10"/>
  <c r="AG185" i="10" s="1"/>
  <c r="S184" i="10"/>
  <c r="AK184" i="10" s="1"/>
  <c r="R184" i="10"/>
  <c r="AJ184" i="10" s="1"/>
  <c r="Q184" i="10"/>
  <c r="AI184" i="10" s="1"/>
  <c r="P184" i="10"/>
  <c r="AH184" i="10" s="1"/>
  <c r="V184" i="10" s="1"/>
  <c r="O184" i="10"/>
  <c r="AG184" i="10" s="1"/>
  <c r="S183" i="10"/>
  <c r="AK183" i="10" s="1"/>
  <c r="R183" i="10"/>
  <c r="AJ183" i="10" s="1"/>
  <c r="Q183" i="10"/>
  <c r="AI183" i="10" s="1"/>
  <c r="AC183" i="10" s="1"/>
  <c r="P183" i="10"/>
  <c r="AH183" i="10" s="1"/>
  <c r="V183" i="10" s="1"/>
  <c r="O183" i="10"/>
  <c r="AG183" i="10" s="1"/>
  <c r="AE182" i="10"/>
  <c r="AD182" i="10"/>
  <c r="AC182" i="10"/>
  <c r="AB182" i="10"/>
  <c r="AA182" i="10"/>
  <c r="Y182" i="10"/>
  <c r="X182" i="10"/>
  <c r="W182" i="10"/>
  <c r="V182" i="10"/>
  <c r="U182" i="10"/>
  <c r="S182" i="10"/>
  <c r="R182" i="10"/>
  <c r="Q182" i="10"/>
  <c r="P182" i="10"/>
  <c r="O182" i="10"/>
  <c r="AE181" i="10"/>
  <c r="AD181" i="10"/>
  <c r="AC181" i="10"/>
  <c r="AB181" i="10"/>
  <c r="AA181" i="10"/>
  <c r="Y181" i="10"/>
  <c r="X181" i="10"/>
  <c r="W181" i="10"/>
  <c r="V181" i="10"/>
  <c r="U181" i="10"/>
  <c r="S181" i="10"/>
  <c r="R181" i="10"/>
  <c r="Q181" i="10"/>
  <c r="P181" i="10"/>
  <c r="O181" i="10"/>
  <c r="S180" i="10"/>
  <c r="AK180" i="10" s="1"/>
  <c r="R180" i="10"/>
  <c r="AJ180" i="10" s="1"/>
  <c r="X180" i="10" s="1"/>
  <c r="Q180" i="10"/>
  <c r="AI180" i="10" s="1"/>
  <c r="P180" i="10"/>
  <c r="AH180" i="10" s="1"/>
  <c r="O180" i="10"/>
  <c r="AG180" i="10" s="1"/>
  <c r="S179" i="10"/>
  <c r="AK179" i="10" s="1"/>
  <c r="AE179" i="10" s="1"/>
  <c r="R179" i="10"/>
  <c r="AJ179" i="10" s="1"/>
  <c r="X179" i="10" s="1"/>
  <c r="Q179" i="10"/>
  <c r="AI179" i="10" s="1"/>
  <c r="P179" i="10"/>
  <c r="AH179" i="10" s="1"/>
  <c r="O179" i="10"/>
  <c r="AG179" i="10" s="1"/>
  <c r="AA179" i="10" s="1"/>
  <c r="S178" i="10"/>
  <c r="AK178" i="10" s="1"/>
  <c r="AE178" i="10" s="1"/>
  <c r="R178" i="10"/>
  <c r="AJ178" i="10" s="1"/>
  <c r="X178" i="10" s="1"/>
  <c r="Q178" i="10"/>
  <c r="AI178" i="10" s="1"/>
  <c r="P178" i="10"/>
  <c r="AH178" i="10" s="1"/>
  <c r="O178" i="10"/>
  <c r="AG178" i="10" s="1"/>
  <c r="AA178" i="10" s="1"/>
  <c r="S177" i="10"/>
  <c r="AK177" i="10" s="1"/>
  <c r="AE177" i="10" s="1"/>
  <c r="R177" i="10"/>
  <c r="AJ177" i="10" s="1"/>
  <c r="X177" i="10" s="1"/>
  <c r="Q177" i="10"/>
  <c r="AI177" i="10" s="1"/>
  <c r="P177" i="10"/>
  <c r="AH177" i="10" s="1"/>
  <c r="O177" i="10"/>
  <c r="AG177" i="10" s="1"/>
  <c r="AA177" i="10" s="1"/>
  <c r="S176" i="10"/>
  <c r="AK176" i="10" s="1"/>
  <c r="AE176" i="10" s="1"/>
  <c r="R176" i="10"/>
  <c r="AJ176" i="10" s="1"/>
  <c r="X176" i="10" s="1"/>
  <c r="Q176" i="10"/>
  <c r="AI176" i="10" s="1"/>
  <c r="P176" i="10"/>
  <c r="AH176" i="10" s="1"/>
  <c r="O176" i="10"/>
  <c r="AG176" i="10" s="1"/>
  <c r="AA176" i="10" s="1"/>
  <c r="S175" i="10"/>
  <c r="AK175" i="10" s="1"/>
  <c r="AE175" i="10" s="1"/>
  <c r="R175" i="10"/>
  <c r="AJ175" i="10" s="1"/>
  <c r="X175" i="10" s="1"/>
  <c r="Q175" i="10"/>
  <c r="AI175" i="10" s="1"/>
  <c r="P175" i="10"/>
  <c r="AH175" i="10" s="1"/>
  <c r="O175" i="10"/>
  <c r="AG175" i="10" s="1"/>
  <c r="AA175" i="10" s="1"/>
  <c r="S174" i="10"/>
  <c r="AK174" i="10" s="1"/>
  <c r="AE174" i="10" s="1"/>
  <c r="R174" i="10"/>
  <c r="AJ174" i="10" s="1"/>
  <c r="X174" i="10" s="1"/>
  <c r="Q174" i="10"/>
  <c r="AI174" i="10" s="1"/>
  <c r="P174" i="10"/>
  <c r="AH174" i="10" s="1"/>
  <c r="O174" i="10"/>
  <c r="AG174" i="10" s="1"/>
  <c r="AA174" i="10" s="1"/>
  <c r="S173" i="10"/>
  <c r="AK173" i="10" s="1"/>
  <c r="AE173" i="10" s="1"/>
  <c r="R173" i="10"/>
  <c r="AJ173" i="10" s="1"/>
  <c r="X173" i="10" s="1"/>
  <c r="Q173" i="10"/>
  <c r="AI173" i="10" s="1"/>
  <c r="P173" i="10"/>
  <c r="AH173" i="10" s="1"/>
  <c r="O173" i="10"/>
  <c r="AG173" i="10" s="1"/>
  <c r="AA173" i="10" s="1"/>
  <c r="S172" i="10"/>
  <c r="AK172" i="10" s="1"/>
  <c r="AE172" i="10" s="1"/>
  <c r="R172" i="10"/>
  <c r="AJ172" i="10" s="1"/>
  <c r="X172" i="10" s="1"/>
  <c r="Q172" i="10"/>
  <c r="AI172" i="10" s="1"/>
  <c r="P172" i="10"/>
  <c r="AH172" i="10" s="1"/>
  <c r="O172" i="10"/>
  <c r="AG172" i="10" s="1"/>
  <c r="AA172" i="10" s="1"/>
  <c r="AI171" i="10"/>
  <c r="Q171" i="10" s="1"/>
  <c r="AE171" i="10"/>
  <c r="AD171" i="10"/>
  <c r="AB171" i="10"/>
  <c r="AA171" i="10"/>
  <c r="Y171" i="10"/>
  <c r="X171" i="10"/>
  <c r="V171" i="10"/>
  <c r="U171" i="10"/>
  <c r="S171" i="10"/>
  <c r="R171" i="10"/>
  <c r="P171" i="10"/>
  <c r="O171" i="10"/>
  <c r="S170" i="10"/>
  <c r="AK170" i="10" s="1"/>
  <c r="AE170" i="10" s="1"/>
  <c r="R170" i="10"/>
  <c r="AJ170" i="10" s="1"/>
  <c r="X170" i="10" s="1"/>
  <c r="Q170" i="10"/>
  <c r="AI170" i="10" s="1"/>
  <c r="P170" i="10"/>
  <c r="AH170" i="10" s="1"/>
  <c r="O170" i="10"/>
  <c r="AG170" i="10" s="1"/>
  <c r="AA170" i="10" s="1"/>
  <c r="S169" i="10"/>
  <c r="AK169" i="10" s="1"/>
  <c r="AE169" i="10" s="1"/>
  <c r="R169" i="10"/>
  <c r="AJ169" i="10" s="1"/>
  <c r="X169" i="10" s="1"/>
  <c r="Q169" i="10"/>
  <c r="AI169" i="10" s="1"/>
  <c r="P169" i="10"/>
  <c r="AH169" i="10" s="1"/>
  <c r="O169" i="10"/>
  <c r="AG169" i="10" s="1"/>
  <c r="AA169" i="10" s="1"/>
  <c r="S168" i="10"/>
  <c r="AK168" i="10" s="1"/>
  <c r="AE168" i="10" s="1"/>
  <c r="R168" i="10"/>
  <c r="AJ168" i="10" s="1"/>
  <c r="X168" i="10" s="1"/>
  <c r="Q168" i="10"/>
  <c r="AI168" i="10" s="1"/>
  <c r="P168" i="10"/>
  <c r="AH168" i="10" s="1"/>
  <c r="O168" i="10"/>
  <c r="AG168" i="10" s="1"/>
  <c r="AA168" i="10" s="1"/>
  <c r="S167" i="10"/>
  <c r="AK167" i="10" s="1"/>
  <c r="AE167" i="10" s="1"/>
  <c r="R167" i="10"/>
  <c r="AJ167" i="10" s="1"/>
  <c r="X167" i="10" s="1"/>
  <c r="Q167" i="10"/>
  <c r="AI167" i="10" s="1"/>
  <c r="P167" i="10"/>
  <c r="AH167" i="10" s="1"/>
  <c r="O167" i="10"/>
  <c r="AG167" i="10" s="1"/>
  <c r="AA167" i="10" s="1"/>
  <c r="S166" i="10"/>
  <c r="AK166" i="10" s="1"/>
  <c r="R166" i="10"/>
  <c r="AJ166" i="10" s="1"/>
  <c r="X166" i="10" s="1"/>
  <c r="Q166" i="10"/>
  <c r="AI166" i="10" s="1"/>
  <c r="P166" i="10"/>
  <c r="AH166" i="10" s="1"/>
  <c r="O166" i="10"/>
  <c r="AG166" i="10" s="1"/>
  <c r="S165" i="10"/>
  <c r="AK165" i="10" s="1"/>
  <c r="AE165" i="10" s="1"/>
  <c r="R165" i="10"/>
  <c r="AJ165" i="10" s="1"/>
  <c r="X165" i="10" s="1"/>
  <c r="Q165" i="10"/>
  <c r="AI165" i="10" s="1"/>
  <c r="P165" i="10"/>
  <c r="AH165" i="10" s="1"/>
  <c r="O165" i="10"/>
  <c r="AG165" i="10" s="1"/>
  <c r="AA165" i="10" s="1"/>
  <c r="S164" i="10"/>
  <c r="AK164" i="10" s="1"/>
  <c r="AE164" i="10" s="1"/>
  <c r="R164" i="10"/>
  <c r="AJ164" i="10" s="1"/>
  <c r="X164" i="10" s="1"/>
  <c r="Q164" i="10"/>
  <c r="AI164" i="10" s="1"/>
  <c r="P164" i="10"/>
  <c r="AH164" i="10" s="1"/>
  <c r="O164" i="10"/>
  <c r="AG164" i="10" s="1"/>
  <c r="AA164" i="10" s="1"/>
  <c r="S163" i="10"/>
  <c r="AK163" i="10" s="1"/>
  <c r="AE163" i="10" s="1"/>
  <c r="R163" i="10"/>
  <c r="AJ163" i="10" s="1"/>
  <c r="X163" i="10" s="1"/>
  <c r="Q163" i="10"/>
  <c r="AI163" i="10" s="1"/>
  <c r="P163" i="10"/>
  <c r="AH163" i="10" s="1"/>
  <c r="O163" i="10"/>
  <c r="AG163" i="10" s="1"/>
  <c r="AA163" i="10" s="1"/>
  <c r="S162" i="10"/>
  <c r="AK162" i="10" s="1"/>
  <c r="AE162" i="10" s="1"/>
  <c r="R162" i="10"/>
  <c r="AJ162" i="10" s="1"/>
  <c r="X162" i="10" s="1"/>
  <c r="Q162" i="10"/>
  <c r="AI162" i="10" s="1"/>
  <c r="P162" i="10"/>
  <c r="AH162" i="10" s="1"/>
  <c r="O162" i="10"/>
  <c r="AG162" i="10" s="1"/>
  <c r="AA162" i="10" s="1"/>
  <c r="S161" i="10"/>
  <c r="AK161" i="10" s="1"/>
  <c r="AE161" i="10" s="1"/>
  <c r="R161" i="10"/>
  <c r="AJ161" i="10" s="1"/>
  <c r="X161" i="10" s="1"/>
  <c r="Q161" i="10"/>
  <c r="AI161" i="10" s="1"/>
  <c r="P161" i="10"/>
  <c r="AH161" i="10" s="1"/>
  <c r="O161" i="10"/>
  <c r="AG161" i="10" s="1"/>
  <c r="AA161" i="10" s="1"/>
  <c r="S160" i="10"/>
  <c r="AK160" i="10" s="1"/>
  <c r="AE160" i="10" s="1"/>
  <c r="R160" i="10"/>
  <c r="AJ160" i="10" s="1"/>
  <c r="X160" i="10" s="1"/>
  <c r="Q160" i="10"/>
  <c r="AI160" i="10" s="1"/>
  <c r="P160" i="10"/>
  <c r="AH160" i="10" s="1"/>
  <c r="O160" i="10"/>
  <c r="AG160" i="10" s="1"/>
  <c r="AA160" i="10" s="1"/>
  <c r="S159" i="10"/>
  <c r="AK159" i="10" s="1"/>
  <c r="AE159" i="10" s="1"/>
  <c r="R159" i="10"/>
  <c r="AJ159" i="10" s="1"/>
  <c r="X159" i="10" s="1"/>
  <c r="Q159" i="10"/>
  <c r="AI159" i="10" s="1"/>
  <c r="P159" i="10"/>
  <c r="AH159" i="10" s="1"/>
  <c r="O159" i="10"/>
  <c r="AG159" i="10" s="1"/>
  <c r="AA159" i="10" s="1"/>
  <c r="S158" i="10"/>
  <c r="AK158" i="10" s="1"/>
  <c r="AE158" i="10" s="1"/>
  <c r="R158" i="10"/>
  <c r="AJ158" i="10" s="1"/>
  <c r="X158" i="10" s="1"/>
  <c r="Q158" i="10"/>
  <c r="AI158" i="10" s="1"/>
  <c r="P158" i="10"/>
  <c r="AH158" i="10" s="1"/>
  <c r="O158" i="10"/>
  <c r="AG158" i="10" s="1"/>
  <c r="AA158" i="10" s="1"/>
  <c r="S157" i="10"/>
  <c r="AK157" i="10" s="1"/>
  <c r="AE157" i="10" s="1"/>
  <c r="R157" i="10"/>
  <c r="AJ157" i="10" s="1"/>
  <c r="X157" i="10" s="1"/>
  <c r="Q157" i="10"/>
  <c r="AI157" i="10" s="1"/>
  <c r="P157" i="10"/>
  <c r="AH157" i="10" s="1"/>
  <c r="AB157" i="10" s="1"/>
  <c r="O157" i="10"/>
  <c r="AG157" i="10" s="1"/>
  <c r="AA157" i="10" s="1"/>
  <c r="S156" i="10"/>
  <c r="AK156" i="10" s="1"/>
  <c r="R156" i="10"/>
  <c r="AJ156" i="10" s="1"/>
  <c r="Q156" i="10"/>
  <c r="AI156" i="10" s="1"/>
  <c r="P156" i="10"/>
  <c r="AH156" i="10" s="1"/>
  <c r="AB156" i="10" s="1"/>
  <c r="O156" i="10"/>
  <c r="AG156" i="10" s="1"/>
  <c r="S155" i="10"/>
  <c r="AK155" i="10" s="1"/>
  <c r="R155" i="10"/>
  <c r="AJ155" i="10" s="1"/>
  <c r="Q155" i="10"/>
  <c r="AI155" i="10" s="1"/>
  <c r="P155" i="10"/>
  <c r="AH155" i="10" s="1"/>
  <c r="AB155" i="10" s="1"/>
  <c r="O155" i="10"/>
  <c r="AG155" i="10" s="1"/>
  <c r="AI154" i="10"/>
  <c r="Q154" i="10" s="1"/>
  <c r="AE154" i="10"/>
  <c r="AD154" i="10"/>
  <c r="AB154" i="10"/>
  <c r="AA154" i="10"/>
  <c r="Y154" i="10"/>
  <c r="X154" i="10"/>
  <c r="V154" i="10"/>
  <c r="U154" i="10"/>
  <c r="S154" i="10"/>
  <c r="R154" i="10"/>
  <c r="P154" i="10"/>
  <c r="O154" i="10"/>
  <c r="S153" i="10"/>
  <c r="AK153" i="10" s="1"/>
  <c r="R153" i="10"/>
  <c r="AJ153" i="10" s="1"/>
  <c r="Q153" i="10"/>
  <c r="AI153" i="10" s="1"/>
  <c r="P153" i="10"/>
  <c r="AH153" i="10" s="1"/>
  <c r="AB153" i="10" s="1"/>
  <c r="O153" i="10"/>
  <c r="AG153" i="10" s="1"/>
  <c r="S152" i="10"/>
  <c r="AK152" i="10" s="1"/>
  <c r="R152" i="10"/>
  <c r="AJ152" i="10" s="1"/>
  <c r="Q152" i="10"/>
  <c r="AI152" i="10" s="1"/>
  <c r="P152" i="10"/>
  <c r="AH152" i="10" s="1"/>
  <c r="AB152" i="10" s="1"/>
  <c r="O152" i="10"/>
  <c r="AG152" i="10" s="1"/>
  <c r="S151" i="10"/>
  <c r="AK151" i="10" s="1"/>
  <c r="R151" i="10"/>
  <c r="AJ151" i="10" s="1"/>
  <c r="Q151" i="10"/>
  <c r="AI151" i="10" s="1"/>
  <c r="P151" i="10"/>
  <c r="AH151" i="10" s="1"/>
  <c r="AB151" i="10" s="1"/>
  <c r="O151" i="10"/>
  <c r="AG151" i="10" s="1"/>
  <c r="S150" i="10"/>
  <c r="AK150" i="10" s="1"/>
  <c r="R150" i="10"/>
  <c r="AJ150" i="10" s="1"/>
  <c r="Q150" i="10"/>
  <c r="AI150" i="10" s="1"/>
  <c r="P150" i="10"/>
  <c r="AH150" i="10" s="1"/>
  <c r="AB150" i="10" s="1"/>
  <c r="O150" i="10"/>
  <c r="AG150" i="10" s="1"/>
  <c r="S149" i="10"/>
  <c r="AK149" i="10" s="1"/>
  <c r="R149" i="10"/>
  <c r="AJ149" i="10" s="1"/>
  <c r="Q149" i="10"/>
  <c r="AI149" i="10" s="1"/>
  <c r="P149" i="10"/>
  <c r="AH149" i="10" s="1"/>
  <c r="AB149" i="10" s="1"/>
  <c r="O149" i="10"/>
  <c r="AG149" i="10" s="1"/>
  <c r="S148" i="10"/>
  <c r="AK148" i="10" s="1"/>
  <c r="R148" i="10"/>
  <c r="AJ148" i="10" s="1"/>
  <c r="Q148" i="10"/>
  <c r="AI148" i="10" s="1"/>
  <c r="P148" i="10"/>
  <c r="AH148" i="10" s="1"/>
  <c r="AB148" i="10" s="1"/>
  <c r="O148" i="10"/>
  <c r="AG148" i="10" s="1"/>
  <c r="S147" i="10"/>
  <c r="AK147" i="10" s="1"/>
  <c r="R147" i="10"/>
  <c r="AJ147" i="10" s="1"/>
  <c r="Q147" i="10"/>
  <c r="AI147" i="10" s="1"/>
  <c r="P147" i="10"/>
  <c r="AH147" i="10" s="1"/>
  <c r="AB147" i="10" s="1"/>
  <c r="O147" i="10"/>
  <c r="AG147" i="10" s="1"/>
  <c r="S146" i="10"/>
  <c r="AK146" i="10" s="1"/>
  <c r="R146" i="10"/>
  <c r="AJ146" i="10" s="1"/>
  <c r="Q146" i="10"/>
  <c r="AI146" i="10" s="1"/>
  <c r="P146" i="10"/>
  <c r="AH146" i="10" s="1"/>
  <c r="AB146" i="10" s="1"/>
  <c r="O146" i="10"/>
  <c r="AG146" i="10" s="1"/>
  <c r="S145" i="10"/>
  <c r="AK145" i="10" s="1"/>
  <c r="R145" i="10"/>
  <c r="AJ145" i="10" s="1"/>
  <c r="Q145" i="10"/>
  <c r="AI145" i="10" s="1"/>
  <c r="P145" i="10"/>
  <c r="AH145" i="10" s="1"/>
  <c r="AB145" i="10" s="1"/>
  <c r="O145" i="10"/>
  <c r="AG145" i="10" s="1"/>
  <c r="S144" i="10"/>
  <c r="AK144" i="10" s="1"/>
  <c r="R144" i="10"/>
  <c r="AJ144" i="10" s="1"/>
  <c r="Q144" i="10"/>
  <c r="AI144" i="10" s="1"/>
  <c r="P144" i="10"/>
  <c r="AH144" i="10" s="1"/>
  <c r="AB144" i="10" s="1"/>
  <c r="O144" i="10"/>
  <c r="AG144" i="10" s="1"/>
  <c r="S143" i="10"/>
  <c r="AK143" i="10" s="1"/>
  <c r="R143" i="10"/>
  <c r="AJ143" i="10" s="1"/>
  <c r="Q143" i="10"/>
  <c r="AI143" i="10" s="1"/>
  <c r="P143" i="10"/>
  <c r="AH143" i="10" s="1"/>
  <c r="AB143" i="10" s="1"/>
  <c r="O143" i="10"/>
  <c r="AG143" i="10" s="1"/>
  <c r="S142" i="10"/>
  <c r="AK142" i="10" s="1"/>
  <c r="R142" i="10"/>
  <c r="AJ142" i="10" s="1"/>
  <c r="Q142" i="10"/>
  <c r="AI142" i="10" s="1"/>
  <c r="P142" i="10"/>
  <c r="AH142" i="10" s="1"/>
  <c r="AB142" i="10" s="1"/>
  <c r="O142" i="10"/>
  <c r="AG142" i="10" s="1"/>
  <c r="AI141" i="10"/>
  <c r="Q141" i="10" s="1"/>
  <c r="AE141" i="10"/>
  <c r="AD141" i="10"/>
  <c r="AB141" i="10"/>
  <c r="AA141" i="10"/>
  <c r="Y141" i="10"/>
  <c r="X141" i="10"/>
  <c r="V141" i="10"/>
  <c r="U141" i="10"/>
  <c r="S141" i="10"/>
  <c r="R141" i="10"/>
  <c r="P141" i="10"/>
  <c r="O141" i="10"/>
  <c r="S140" i="10"/>
  <c r="AK140" i="10" s="1"/>
  <c r="R140" i="10"/>
  <c r="AJ140" i="10" s="1"/>
  <c r="Q140" i="10"/>
  <c r="AI140" i="10" s="1"/>
  <c r="P140" i="10"/>
  <c r="AH140" i="10" s="1"/>
  <c r="AB140" i="10" s="1"/>
  <c r="O140" i="10"/>
  <c r="AG140" i="10" s="1"/>
  <c r="S139" i="10"/>
  <c r="AK139" i="10" s="1"/>
  <c r="R139" i="10"/>
  <c r="AJ139" i="10" s="1"/>
  <c r="Q139" i="10"/>
  <c r="AI139" i="10" s="1"/>
  <c r="P139" i="10"/>
  <c r="AH139" i="10" s="1"/>
  <c r="AB139" i="10" s="1"/>
  <c r="O139" i="10"/>
  <c r="AG139" i="10" s="1"/>
  <c r="S138" i="10"/>
  <c r="AK138" i="10" s="1"/>
  <c r="R138" i="10"/>
  <c r="AJ138" i="10" s="1"/>
  <c r="Q138" i="10"/>
  <c r="AI138" i="10" s="1"/>
  <c r="P138" i="10"/>
  <c r="AH138" i="10" s="1"/>
  <c r="AB138" i="10" s="1"/>
  <c r="O138" i="10"/>
  <c r="AG138" i="10" s="1"/>
  <c r="S137" i="10"/>
  <c r="AK137" i="10" s="1"/>
  <c r="R137" i="10"/>
  <c r="AJ137" i="10" s="1"/>
  <c r="Q137" i="10"/>
  <c r="AI137" i="10" s="1"/>
  <c r="P137" i="10"/>
  <c r="AH137" i="10" s="1"/>
  <c r="AB137" i="10" s="1"/>
  <c r="O137" i="10"/>
  <c r="AG137" i="10" s="1"/>
  <c r="S136" i="10"/>
  <c r="AK136" i="10" s="1"/>
  <c r="R136" i="10"/>
  <c r="AJ136" i="10" s="1"/>
  <c r="Q136" i="10"/>
  <c r="AI136" i="10" s="1"/>
  <c r="P136" i="10"/>
  <c r="AH136" i="10" s="1"/>
  <c r="AB136" i="10" s="1"/>
  <c r="O136" i="10"/>
  <c r="AG136" i="10" s="1"/>
  <c r="S135" i="10"/>
  <c r="AK135" i="10" s="1"/>
  <c r="R135" i="10"/>
  <c r="AJ135" i="10" s="1"/>
  <c r="Q135" i="10"/>
  <c r="AI135" i="10" s="1"/>
  <c r="P135" i="10"/>
  <c r="AH135" i="10" s="1"/>
  <c r="AB135" i="10" s="1"/>
  <c r="O135" i="10"/>
  <c r="AG135" i="10" s="1"/>
  <c r="S134" i="10"/>
  <c r="AK134" i="10" s="1"/>
  <c r="R134" i="10"/>
  <c r="AJ134" i="10" s="1"/>
  <c r="Q134" i="10"/>
  <c r="AI134" i="10" s="1"/>
  <c r="P134" i="10"/>
  <c r="AH134" i="10" s="1"/>
  <c r="AB134" i="10" s="1"/>
  <c r="O134" i="10"/>
  <c r="AG134" i="10" s="1"/>
  <c r="S133" i="10"/>
  <c r="AK133" i="10" s="1"/>
  <c r="R133" i="10"/>
  <c r="AJ133" i="10" s="1"/>
  <c r="Q133" i="10"/>
  <c r="AI133" i="10" s="1"/>
  <c r="P133" i="10"/>
  <c r="AH133" i="10" s="1"/>
  <c r="AB133" i="10" s="1"/>
  <c r="O133" i="10"/>
  <c r="AG133" i="10" s="1"/>
  <c r="S132" i="10"/>
  <c r="AK132" i="10" s="1"/>
  <c r="R132" i="10"/>
  <c r="AJ132" i="10" s="1"/>
  <c r="Q132" i="10"/>
  <c r="AI132" i="10" s="1"/>
  <c r="P132" i="10"/>
  <c r="AH132" i="10" s="1"/>
  <c r="AB132" i="10" s="1"/>
  <c r="O132" i="10"/>
  <c r="AG132" i="10" s="1"/>
  <c r="S131" i="10"/>
  <c r="AK131" i="10" s="1"/>
  <c r="R131" i="10"/>
  <c r="AJ131" i="10" s="1"/>
  <c r="Q131" i="10"/>
  <c r="AI131" i="10" s="1"/>
  <c r="P131" i="10"/>
  <c r="AH131" i="10" s="1"/>
  <c r="AB131" i="10" s="1"/>
  <c r="O131" i="10"/>
  <c r="AG131" i="10" s="1"/>
  <c r="S130" i="10"/>
  <c r="AK130" i="10" s="1"/>
  <c r="R130" i="10"/>
  <c r="AJ130" i="10" s="1"/>
  <c r="Q130" i="10"/>
  <c r="AI130" i="10" s="1"/>
  <c r="P130" i="10"/>
  <c r="AH130" i="10" s="1"/>
  <c r="AB130" i="10" s="1"/>
  <c r="O130" i="10"/>
  <c r="AG130" i="10" s="1"/>
  <c r="S129" i="10"/>
  <c r="AK129" i="10" s="1"/>
  <c r="R129" i="10"/>
  <c r="AJ129" i="10" s="1"/>
  <c r="Q129" i="10"/>
  <c r="AI129" i="10" s="1"/>
  <c r="P129" i="10"/>
  <c r="AH129" i="10" s="1"/>
  <c r="AB129" i="10" s="1"/>
  <c r="O129" i="10"/>
  <c r="AG129" i="10" s="1"/>
  <c r="S128" i="10"/>
  <c r="AK128" i="10" s="1"/>
  <c r="R128" i="10"/>
  <c r="AJ128" i="10" s="1"/>
  <c r="Q128" i="10"/>
  <c r="AI128" i="10" s="1"/>
  <c r="P128" i="10"/>
  <c r="AH128" i="10" s="1"/>
  <c r="AB128" i="10" s="1"/>
  <c r="O128" i="10"/>
  <c r="AG128" i="10" s="1"/>
  <c r="S127" i="10"/>
  <c r="AK127" i="10" s="1"/>
  <c r="R127" i="10"/>
  <c r="AJ127" i="10" s="1"/>
  <c r="Q127" i="10"/>
  <c r="AI127" i="10" s="1"/>
  <c r="P127" i="10"/>
  <c r="AH127" i="10" s="1"/>
  <c r="AB127" i="10" s="1"/>
  <c r="O127" i="10"/>
  <c r="AG127" i="10" s="1"/>
  <c r="S126" i="10"/>
  <c r="AK126" i="10" s="1"/>
  <c r="R126" i="10"/>
  <c r="AJ126" i="10" s="1"/>
  <c r="Q126" i="10"/>
  <c r="AI126" i="10" s="1"/>
  <c r="P126" i="10"/>
  <c r="AH126" i="10" s="1"/>
  <c r="AB126" i="10" s="1"/>
  <c r="O126" i="10"/>
  <c r="AG126" i="10" s="1"/>
  <c r="S125" i="10"/>
  <c r="AK125" i="10" s="1"/>
  <c r="R125" i="10"/>
  <c r="AJ125" i="10" s="1"/>
  <c r="Q125" i="10"/>
  <c r="AI125" i="10" s="1"/>
  <c r="P125" i="10"/>
  <c r="AH125" i="10" s="1"/>
  <c r="AB125" i="10" s="1"/>
  <c r="O125" i="10"/>
  <c r="AG125" i="10" s="1"/>
  <c r="S124" i="10"/>
  <c r="AK124" i="10" s="1"/>
  <c r="R124" i="10"/>
  <c r="AJ124" i="10" s="1"/>
  <c r="Q124" i="10"/>
  <c r="AI124" i="10" s="1"/>
  <c r="P124" i="10"/>
  <c r="AH124" i="10" s="1"/>
  <c r="AB124" i="10" s="1"/>
  <c r="O124" i="10"/>
  <c r="AG124" i="10" s="1"/>
  <c r="S123" i="10"/>
  <c r="AK123" i="10" s="1"/>
  <c r="R123" i="10"/>
  <c r="AJ123" i="10" s="1"/>
  <c r="Q123" i="10"/>
  <c r="AI123" i="10" s="1"/>
  <c r="P123" i="10"/>
  <c r="AH123" i="10" s="1"/>
  <c r="AB123" i="10" s="1"/>
  <c r="O123" i="10"/>
  <c r="AG123" i="10" s="1"/>
  <c r="S122" i="10"/>
  <c r="AK122" i="10" s="1"/>
  <c r="R122" i="10"/>
  <c r="AJ122" i="10" s="1"/>
  <c r="Q122" i="10"/>
  <c r="AI122" i="10" s="1"/>
  <c r="P122" i="10"/>
  <c r="AH122" i="10" s="1"/>
  <c r="AB122" i="10" s="1"/>
  <c r="O122" i="10"/>
  <c r="AG122" i="10" s="1"/>
  <c r="S121" i="10"/>
  <c r="AK121" i="10" s="1"/>
  <c r="R121" i="10"/>
  <c r="AJ121" i="10" s="1"/>
  <c r="Q121" i="10"/>
  <c r="AI121" i="10" s="1"/>
  <c r="P121" i="10"/>
  <c r="AH121" i="10" s="1"/>
  <c r="AB121" i="10" s="1"/>
  <c r="O121" i="10"/>
  <c r="AG121" i="10" s="1"/>
  <c r="S120" i="10"/>
  <c r="AK120" i="10" s="1"/>
  <c r="R120" i="10"/>
  <c r="AJ120" i="10" s="1"/>
  <c r="Q120" i="10"/>
  <c r="AI120" i="10" s="1"/>
  <c r="P120" i="10"/>
  <c r="AH120" i="10" s="1"/>
  <c r="AB120" i="10" s="1"/>
  <c r="O120" i="10"/>
  <c r="AG120" i="10" s="1"/>
  <c r="S119" i="10"/>
  <c r="AK119" i="10" s="1"/>
  <c r="R119" i="10"/>
  <c r="AJ119" i="10" s="1"/>
  <c r="Q119" i="10"/>
  <c r="AI119" i="10" s="1"/>
  <c r="P119" i="10"/>
  <c r="AH119" i="10" s="1"/>
  <c r="AB119" i="10" s="1"/>
  <c r="O119" i="10"/>
  <c r="AG119" i="10" s="1"/>
  <c r="S118" i="10"/>
  <c r="AK118" i="10" s="1"/>
  <c r="R118" i="10"/>
  <c r="AJ118" i="10" s="1"/>
  <c r="Q118" i="10"/>
  <c r="AI118" i="10" s="1"/>
  <c r="P118" i="10"/>
  <c r="AH118" i="10" s="1"/>
  <c r="AB118" i="10" s="1"/>
  <c r="O118" i="10"/>
  <c r="AG118" i="10" s="1"/>
  <c r="S117" i="10"/>
  <c r="AK117" i="10" s="1"/>
  <c r="R117" i="10"/>
  <c r="AJ117" i="10" s="1"/>
  <c r="Q117" i="10"/>
  <c r="AI117" i="10" s="1"/>
  <c r="P117" i="10"/>
  <c r="AH117" i="10" s="1"/>
  <c r="AB117" i="10" s="1"/>
  <c r="O117" i="10"/>
  <c r="AG117" i="10" s="1"/>
  <c r="S116" i="10"/>
  <c r="AK116" i="10" s="1"/>
  <c r="R116" i="10"/>
  <c r="AJ116" i="10" s="1"/>
  <c r="Q116" i="10"/>
  <c r="AI116" i="10" s="1"/>
  <c r="P116" i="10"/>
  <c r="AH116" i="10" s="1"/>
  <c r="AB116" i="10" s="1"/>
  <c r="O116" i="10"/>
  <c r="AG116" i="10" s="1"/>
  <c r="AI115" i="10"/>
  <c r="Q115" i="10" s="1"/>
  <c r="AE115" i="10"/>
  <c r="AD115" i="10"/>
  <c r="AB115" i="10"/>
  <c r="AA115" i="10"/>
  <c r="Y115" i="10"/>
  <c r="X115" i="10"/>
  <c r="V115" i="10"/>
  <c r="U115" i="10"/>
  <c r="S115" i="10"/>
  <c r="R115" i="10"/>
  <c r="P115" i="10"/>
  <c r="O115" i="10"/>
  <c r="S114" i="10"/>
  <c r="AK114" i="10" s="1"/>
  <c r="R114" i="10"/>
  <c r="AJ114" i="10" s="1"/>
  <c r="Q114" i="10"/>
  <c r="AI114" i="10" s="1"/>
  <c r="P114" i="10"/>
  <c r="AH114" i="10" s="1"/>
  <c r="AB114" i="10" s="1"/>
  <c r="O114" i="10"/>
  <c r="AG114" i="10" s="1"/>
  <c r="S113" i="10"/>
  <c r="AK113" i="10" s="1"/>
  <c r="R113" i="10"/>
  <c r="AJ113" i="10" s="1"/>
  <c r="Q113" i="10"/>
  <c r="AI113" i="10" s="1"/>
  <c r="P113" i="10"/>
  <c r="AH113" i="10" s="1"/>
  <c r="AB113" i="10" s="1"/>
  <c r="O113" i="10"/>
  <c r="AG113" i="10" s="1"/>
  <c r="S112" i="10"/>
  <c r="AK112" i="10" s="1"/>
  <c r="R112" i="10"/>
  <c r="AJ112" i="10" s="1"/>
  <c r="Q112" i="10"/>
  <c r="AI112" i="10" s="1"/>
  <c r="P112" i="10"/>
  <c r="AH112" i="10" s="1"/>
  <c r="AB112" i="10" s="1"/>
  <c r="O112" i="10"/>
  <c r="AG112" i="10" s="1"/>
  <c r="S111" i="10"/>
  <c r="AK111" i="10" s="1"/>
  <c r="R111" i="10"/>
  <c r="AJ111" i="10" s="1"/>
  <c r="Q111" i="10"/>
  <c r="AI111" i="10" s="1"/>
  <c r="P111" i="10"/>
  <c r="AH111" i="10" s="1"/>
  <c r="AB111" i="10" s="1"/>
  <c r="O111" i="10"/>
  <c r="AG111" i="10" s="1"/>
  <c r="S110" i="10"/>
  <c r="AK110" i="10" s="1"/>
  <c r="R110" i="10"/>
  <c r="AJ110" i="10" s="1"/>
  <c r="Q110" i="10"/>
  <c r="AI110" i="10" s="1"/>
  <c r="P110" i="10"/>
  <c r="AH110" i="10" s="1"/>
  <c r="AB110" i="10" s="1"/>
  <c r="O110" i="10"/>
  <c r="AG110" i="10" s="1"/>
  <c r="S109" i="10"/>
  <c r="AK109" i="10" s="1"/>
  <c r="R109" i="10"/>
  <c r="AJ109" i="10" s="1"/>
  <c r="Q109" i="10"/>
  <c r="AI109" i="10" s="1"/>
  <c r="P109" i="10"/>
  <c r="AH109" i="10" s="1"/>
  <c r="AB109" i="10" s="1"/>
  <c r="O109" i="10"/>
  <c r="AG109" i="10" s="1"/>
  <c r="S108" i="10"/>
  <c r="AK108" i="10" s="1"/>
  <c r="R108" i="10"/>
  <c r="AJ108" i="10" s="1"/>
  <c r="Q108" i="10"/>
  <c r="AI108" i="10" s="1"/>
  <c r="P108" i="10"/>
  <c r="AH108" i="10" s="1"/>
  <c r="AB108" i="10" s="1"/>
  <c r="O108" i="10"/>
  <c r="AG108" i="10" s="1"/>
  <c r="S107" i="10"/>
  <c r="AK107" i="10" s="1"/>
  <c r="R107" i="10"/>
  <c r="AJ107" i="10" s="1"/>
  <c r="AD107" i="10" s="1"/>
  <c r="Q107" i="10"/>
  <c r="AI107" i="10" s="1"/>
  <c r="W107" i="10" s="1"/>
  <c r="P107" i="10"/>
  <c r="AH107" i="10" s="1"/>
  <c r="O107" i="10"/>
  <c r="AG107" i="10" s="1"/>
  <c r="S106" i="10"/>
  <c r="AK106" i="10" s="1"/>
  <c r="R106" i="10"/>
  <c r="AJ106" i="10" s="1"/>
  <c r="AD106" i="10" s="1"/>
  <c r="Q106" i="10"/>
  <c r="AI106" i="10" s="1"/>
  <c r="W106" i="10" s="1"/>
  <c r="P106" i="10"/>
  <c r="AH106" i="10" s="1"/>
  <c r="O106" i="10"/>
  <c r="AG106" i="10" s="1"/>
  <c r="S105" i="10"/>
  <c r="AK105" i="10" s="1"/>
  <c r="R105" i="10"/>
  <c r="AJ105" i="10" s="1"/>
  <c r="AD105" i="10" s="1"/>
  <c r="Q105" i="10"/>
  <c r="AI105" i="10" s="1"/>
  <c r="P105" i="10"/>
  <c r="AH105" i="10" s="1"/>
  <c r="O105" i="10"/>
  <c r="AG105" i="10" s="1"/>
  <c r="S104" i="10"/>
  <c r="AK104" i="10" s="1"/>
  <c r="R104" i="10"/>
  <c r="AJ104" i="10" s="1"/>
  <c r="AD104" i="10" s="1"/>
  <c r="Q104" i="10"/>
  <c r="AI104" i="10" s="1"/>
  <c r="P104" i="10"/>
  <c r="AH104" i="10" s="1"/>
  <c r="O104" i="10"/>
  <c r="AG104" i="10" s="1"/>
  <c r="S103" i="10"/>
  <c r="AK103" i="10" s="1"/>
  <c r="R103" i="10"/>
  <c r="AJ103" i="10" s="1"/>
  <c r="Q103" i="10"/>
  <c r="AI103" i="10" s="1"/>
  <c r="P103" i="10"/>
  <c r="AH103" i="10" s="1"/>
  <c r="O103" i="10"/>
  <c r="AG103" i="10" s="1"/>
  <c r="S102" i="10"/>
  <c r="AK102" i="10" s="1"/>
  <c r="R102" i="10"/>
  <c r="AJ102" i="10" s="1"/>
  <c r="AD102" i="10" s="1"/>
  <c r="Q102" i="10"/>
  <c r="AI102" i="10" s="1"/>
  <c r="P102" i="10"/>
  <c r="AH102" i="10" s="1"/>
  <c r="O102" i="10"/>
  <c r="AG102" i="10" s="1"/>
  <c r="S101" i="10"/>
  <c r="AK101" i="10" s="1"/>
  <c r="R101" i="10"/>
  <c r="AJ101" i="10" s="1"/>
  <c r="AD101" i="10" s="1"/>
  <c r="Q101" i="10"/>
  <c r="AI101" i="10" s="1"/>
  <c r="P101" i="10"/>
  <c r="AH101" i="10" s="1"/>
  <c r="O101" i="10"/>
  <c r="AG101" i="10" s="1"/>
  <c r="S100" i="10"/>
  <c r="AK100" i="10" s="1"/>
  <c r="R100" i="10"/>
  <c r="AJ100" i="10" s="1"/>
  <c r="AD100" i="10" s="1"/>
  <c r="Q100" i="10"/>
  <c r="AI100" i="10" s="1"/>
  <c r="P100" i="10"/>
  <c r="AH100" i="10" s="1"/>
  <c r="O100" i="10"/>
  <c r="AG100" i="10" s="1"/>
  <c r="S99" i="10"/>
  <c r="AK99" i="10" s="1"/>
  <c r="R99" i="10"/>
  <c r="AJ99" i="10" s="1"/>
  <c r="AD99" i="10" s="1"/>
  <c r="Q99" i="10"/>
  <c r="AI99" i="10" s="1"/>
  <c r="W99" i="10" s="1"/>
  <c r="P99" i="10"/>
  <c r="AH99" i="10" s="1"/>
  <c r="O99" i="10"/>
  <c r="AG99" i="10" s="1"/>
  <c r="S98" i="10"/>
  <c r="AK98" i="10" s="1"/>
  <c r="R98" i="10"/>
  <c r="AJ98" i="10" s="1"/>
  <c r="AD98" i="10" s="1"/>
  <c r="Q98" i="10"/>
  <c r="AI98" i="10" s="1"/>
  <c r="W98" i="10" s="1"/>
  <c r="P98" i="10"/>
  <c r="AH98" i="10" s="1"/>
  <c r="O98" i="10"/>
  <c r="AG98" i="10" s="1"/>
  <c r="S97" i="10"/>
  <c r="AK97" i="10" s="1"/>
  <c r="R97" i="10"/>
  <c r="AJ97" i="10" s="1"/>
  <c r="AD97" i="10" s="1"/>
  <c r="Q97" i="10"/>
  <c r="AI97" i="10" s="1"/>
  <c r="P97" i="10"/>
  <c r="AH97" i="10" s="1"/>
  <c r="O97" i="10"/>
  <c r="AG97" i="10" s="1"/>
  <c r="S96" i="10"/>
  <c r="AK96" i="10" s="1"/>
  <c r="R96" i="10"/>
  <c r="AJ96" i="10" s="1"/>
  <c r="AD96" i="10" s="1"/>
  <c r="Q96" i="10"/>
  <c r="AI96" i="10" s="1"/>
  <c r="P96" i="10"/>
  <c r="AH96" i="10" s="1"/>
  <c r="O96" i="10"/>
  <c r="AG96" i="10" s="1"/>
  <c r="S95" i="10"/>
  <c r="AK95" i="10" s="1"/>
  <c r="R95" i="10"/>
  <c r="AJ95" i="10" s="1"/>
  <c r="AD95" i="10" s="1"/>
  <c r="Q95" i="10"/>
  <c r="AI95" i="10" s="1"/>
  <c r="P95" i="10"/>
  <c r="AH95" i="10" s="1"/>
  <c r="O95" i="10"/>
  <c r="AG95" i="10" s="1"/>
  <c r="S94" i="10"/>
  <c r="AK94" i="10" s="1"/>
  <c r="R94" i="10"/>
  <c r="AJ94" i="10" s="1"/>
  <c r="AD94" i="10" s="1"/>
  <c r="Q94" i="10"/>
  <c r="AI94" i="10" s="1"/>
  <c r="P94" i="10"/>
  <c r="AH94" i="10" s="1"/>
  <c r="O94" i="10"/>
  <c r="AG94" i="10" s="1"/>
  <c r="S93" i="10"/>
  <c r="AK93" i="10" s="1"/>
  <c r="R93" i="10"/>
  <c r="AJ93" i="10" s="1"/>
  <c r="AD93" i="10" s="1"/>
  <c r="Q93" i="10"/>
  <c r="AI93" i="10" s="1"/>
  <c r="P93" i="10"/>
  <c r="AH93" i="10" s="1"/>
  <c r="O93" i="10"/>
  <c r="AG93" i="10" s="1"/>
  <c r="S92" i="10"/>
  <c r="AK92" i="10" s="1"/>
  <c r="R92" i="10"/>
  <c r="AJ92" i="10" s="1"/>
  <c r="AD92" i="10" s="1"/>
  <c r="Q92" i="10"/>
  <c r="AI92" i="10" s="1"/>
  <c r="P92" i="10"/>
  <c r="AH92" i="10" s="1"/>
  <c r="O92" i="10"/>
  <c r="AG92" i="10" s="1"/>
  <c r="S91" i="10"/>
  <c r="AK91" i="10" s="1"/>
  <c r="R91" i="10"/>
  <c r="AJ91" i="10" s="1"/>
  <c r="AD91" i="10" s="1"/>
  <c r="Q91" i="10"/>
  <c r="AI91" i="10" s="1"/>
  <c r="W91" i="10" s="1"/>
  <c r="P91" i="10"/>
  <c r="AH91" i="10" s="1"/>
  <c r="O91" i="10"/>
  <c r="AG91" i="10" s="1"/>
  <c r="S90" i="10"/>
  <c r="AK90" i="10" s="1"/>
  <c r="R90" i="10"/>
  <c r="AJ90" i="10" s="1"/>
  <c r="AD90" i="10" s="1"/>
  <c r="Q90" i="10"/>
  <c r="AI90" i="10" s="1"/>
  <c r="P90" i="10"/>
  <c r="AH90" i="10" s="1"/>
  <c r="O90" i="10"/>
  <c r="AG90" i="10" s="1"/>
  <c r="S89" i="10"/>
  <c r="AK89" i="10" s="1"/>
  <c r="R89" i="10"/>
  <c r="AJ89" i="10" s="1"/>
  <c r="AD89" i="10" s="1"/>
  <c r="Q89" i="10"/>
  <c r="AI89" i="10" s="1"/>
  <c r="W89" i="10" s="1"/>
  <c r="P89" i="10"/>
  <c r="AH89" i="10" s="1"/>
  <c r="O89" i="10"/>
  <c r="AG89" i="10" s="1"/>
  <c r="S88" i="10"/>
  <c r="AK88" i="10" s="1"/>
  <c r="R88" i="10"/>
  <c r="AJ88" i="10" s="1"/>
  <c r="AD88" i="10" s="1"/>
  <c r="Q88" i="10"/>
  <c r="AI88" i="10" s="1"/>
  <c r="W88" i="10" s="1"/>
  <c r="P88" i="10"/>
  <c r="AH88" i="10" s="1"/>
  <c r="O88" i="10"/>
  <c r="AG88" i="10" s="1"/>
  <c r="S87" i="10"/>
  <c r="AK87" i="10" s="1"/>
  <c r="R87" i="10"/>
  <c r="AJ87" i="10" s="1"/>
  <c r="AD87" i="10" s="1"/>
  <c r="Q87" i="10"/>
  <c r="AI87" i="10" s="1"/>
  <c r="W87" i="10" s="1"/>
  <c r="P87" i="10"/>
  <c r="AH87" i="10" s="1"/>
  <c r="O87" i="10"/>
  <c r="AG87" i="10" s="1"/>
  <c r="S86" i="10"/>
  <c r="AK86" i="10" s="1"/>
  <c r="R86" i="10"/>
  <c r="AJ86" i="10" s="1"/>
  <c r="Q86" i="10"/>
  <c r="AI86" i="10" s="1"/>
  <c r="P86" i="10"/>
  <c r="AH86" i="10" s="1"/>
  <c r="O86" i="10"/>
  <c r="AG86" i="10" s="1"/>
  <c r="S85" i="10"/>
  <c r="AK85" i="10" s="1"/>
  <c r="R85" i="10"/>
  <c r="AJ85" i="10" s="1"/>
  <c r="AD85" i="10" s="1"/>
  <c r="Q85" i="10"/>
  <c r="AI85" i="10" s="1"/>
  <c r="P85" i="10"/>
  <c r="AH85" i="10" s="1"/>
  <c r="O85" i="10"/>
  <c r="AG85" i="10" s="1"/>
  <c r="S84" i="10"/>
  <c r="AK84" i="10" s="1"/>
  <c r="R84" i="10"/>
  <c r="AJ84" i="10" s="1"/>
  <c r="AD84" i="10" s="1"/>
  <c r="Q84" i="10"/>
  <c r="AI84" i="10" s="1"/>
  <c r="P84" i="10"/>
  <c r="AH84" i="10" s="1"/>
  <c r="O84" i="10"/>
  <c r="AG84" i="10" s="1"/>
  <c r="S83" i="10"/>
  <c r="AK83" i="10" s="1"/>
  <c r="R83" i="10"/>
  <c r="AJ83" i="10" s="1"/>
  <c r="AD83" i="10" s="1"/>
  <c r="Q83" i="10"/>
  <c r="AI83" i="10" s="1"/>
  <c r="P83" i="10"/>
  <c r="AH83" i="10" s="1"/>
  <c r="O83" i="10"/>
  <c r="AG83" i="10" s="1"/>
  <c r="S82" i="10"/>
  <c r="AK82" i="10" s="1"/>
  <c r="R82" i="10"/>
  <c r="AJ82" i="10" s="1"/>
  <c r="AD82" i="10" s="1"/>
  <c r="Q82" i="10"/>
  <c r="AI82" i="10" s="1"/>
  <c r="P82" i="10"/>
  <c r="AH82" i="10" s="1"/>
  <c r="O82" i="10"/>
  <c r="AG82" i="10" s="1"/>
  <c r="S81" i="10"/>
  <c r="AK81" i="10" s="1"/>
  <c r="R81" i="10"/>
  <c r="AJ81" i="10" s="1"/>
  <c r="AD81" i="10" s="1"/>
  <c r="Q81" i="10"/>
  <c r="AI81" i="10" s="1"/>
  <c r="W81" i="10" s="1"/>
  <c r="P81" i="10"/>
  <c r="AH81" i="10" s="1"/>
  <c r="O81" i="10"/>
  <c r="AG81" i="10" s="1"/>
  <c r="S80" i="10"/>
  <c r="AK80" i="10" s="1"/>
  <c r="R80" i="10"/>
  <c r="AJ80" i="10" s="1"/>
  <c r="AD80" i="10" s="1"/>
  <c r="Q80" i="10"/>
  <c r="AI80" i="10" s="1"/>
  <c r="W80" i="10" s="1"/>
  <c r="P80" i="10"/>
  <c r="AH80" i="10" s="1"/>
  <c r="O80" i="10"/>
  <c r="AG80" i="10" s="1"/>
  <c r="S79" i="10"/>
  <c r="AK79" i="10" s="1"/>
  <c r="R79" i="10"/>
  <c r="AJ79" i="10" s="1"/>
  <c r="AD79" i="10" s="1"/>
  <c r="Q79" i="10"/>
  <c r="AI79" i="10" s="1"/>
  <c r="W79" i="10" s="1"/>
  <c r="P79" i="10"/>
  <c r="AH79" i="10" s="1"/>
  <c r="O79" i="10"/>
  <c r="AG79" i="10" s="1"/>
  <c r="S78" i="10"/>
  <c r="AK78" i="10" s="1"/>
  <c r="R78" i="10"/>
  <c r="AJ78" i="10" s="1"/>
  <c r="Q78" i="10"/>
  <c r="AI78" i="10" s="1"/>
  <c r="P78" i="10"/>
  <c r="AH78" i="10" s="1"/>
  <c r="O78" i="10"/>
  <c r="AG78" i="10" s="1"/>
  <c r="S77" i="10"/>
  <c r="AK77" i="10" s="1"/>
  <c r="R77" i="10"/>
  <c r="AJ77" i="10" s="1"/>
  <c r="AD77" i="10" s="1"/>
  <c r="Q77" i="10"/>
  <c r="AI77" i="10" s="1"/>
  <c r="P77" i="10"/>
  <c r="AH77" i="10" s="1"/>
  <c r="O77" i="10"/>
  <c r="AG77" i="10" s="1"/>
  <c r="S76" i="10"/>
  <c r="AK76" i="10" s="1"/>
  <c r="R76" i="10"/>
  <c r="AJ76" i="10" s="1"/>
  <c r="AD76" i="10" s="1"/>
  <c r="Q76" i="10"/>
  <c r="AI76" i="10" s="1"/>
  <c r="P76" i="10"/>
  <c r="AH76" i="10" s="1"/>
  <c r="O76" i="10"/>
  <c r="AG76" i="10" s="1"/>
  <c r="S75" i="10"/>
  <c r="AK75" i="10" s="1"/>
  <c r="R75" i="10"/>
  <c r="AJ75" i="10" s="1"/>
  <c r="AD75" i="10" s="1"/>
  <c r="Q75" i="10"/>
  <c r="AI75" i="10" s="1"/>
  <c r="P75" i="10"/>
  <c r="AH75" i="10" s="1"/>
  <c r="O75" i="10"/>
  <c r="AG75" i="10" s="1"/>
  <c r="S74" i="10"/>
  <c r="AK74" i="10" s="1"/>
  <c r="R74" i="10"/>
  <c r="AJ74" i="10" s="1"/>
  <c r="AD74" i="10" s="1"/>
  <c r="Q74" i="10"/>
  <c r="AI74" i="10" s="1"/>
  <c r="W74" i="10" s="1"/>
  <c r="P74" i="10"/>
  <c r="AH74" i="10" s="1"/>
  <c r="O74" i="10"/>
  <c r="AG74" i="10" s="1"/>
  <c r="S73" i="10"/>
  <c r="AK73" i="10" s="1"/>
  <c r="R73" i="10"/>
  <c r="AJ73" i="10" s="1"/>
  <c r="AD73" i="10" s="1"/>
  <c r="Q73" i="10"/>
  <c r="AI73" i="10" s="1"/>
  <c r="W73" i="10" s="1"/>
  <c r="P73" i="10"/>
  <c r="AH73" i="10" s="1"/>
  <c r="O73" i="10"/>
  <c r="AG73" i="10" s="1"/>
  <c r="S72" i="10"/>
  <c r="AK72" i="10" s="1"/>
  <c r="R72" i="10"/>
  <c r="AJ72" i="10" s="1"/>
  <c r="AD72" i="10" s="1"/>
  <c r="Q72" i="10"/>
  <c r="AI72" i="10" s="1"/>
  <c r="W72" i="10" s="1"/>
  <c r="P72" i="10"/>
  <c r="AH72" i="10" s="1"/>
  <c r="O72" i="10"/>
  <c r="AG72" i="10" s="1"/>
  <c r="S71" i="10"/>
  <c r="AK71" i="10" s="1"/>
  <c r="R71" i="10"/>
  <c r="AJ71" i="10" s="1"/>
  <c r="Q71" i="10"/>
  <c r="AI71" i="10" s="1"/>
  <c r="P71" i="10"/>
  <c r="AH71" i="10" s="1"/>
  <c r="O71" i="10"/>
  <c r="AG71" i="10" s="1"/>
  <c r="S70" i="10"/>
  <c r="AK70" i="10" s="1"/>
  <c r="R70" i="10"/>
  <c r="AJ70" i="10" s="1"/>
  <c r="AD70" i="10" s="1"/>
  <c r="Q70" i="10"/>
  <c r="AI70" i="10" s="1"/>
  <c r="P70" i="10"/>
  <c r="AH70" i="10" s="1"/>
  <c r="O70" i="10"/>
  <c r="AG70" i="10" s="1"/>
  <c r="S69" i="10"/>
  <c r="AK69" i="10" s="1"/>
  <c r="R69" i="10"/>
  <c r="AJ69" i="10" s="1"/>
  <c r="AD69" i="10" s="1"/>
  <c r="Q69" i="10"/>
  <c r="AI69" i="10" s="1"/>
  <c r="P69" i="10"/>
  <c r="AH69" i="10" s="1"/>
  <c r="O69" i="10"/>
  <c r="AG69" i="10" s="1"/>
  <c r="S68" i="10"/>
  <c r="AK68" i="10" s="1"/>
  <c r="R68" i="10"/>
  <c r="AJ68" i="10" s="1"/>
  <c r="AD68" i="10" s="1"/>
  <c r="Q68" i="10"/>
  <c r="AI68" i="10" s="1"/>
  <c r="P68" i="10"/>
  <c r="AH68" i="10" s="1"/>
  <c r="O68" i="10"/>
  <c r="AG68" i="10" s="1"/>
  <c r="S67" i="10"/>
  <c r="AK67" i="10" s="1"/>
  <c r="R67" i="10"/>
  <c r="AJ67" i="10" s="1"/>
  <c r="AD67" i="10" s="1"/>
  <c r="Q67" i="10"/>
  <c r="AI67" i="10" s="1"/>
  <c r="P67" i="10"/>
  <c r="AH67" i="10" s="1"/>
  <c r="O67" i="10"/>
  <c r="AG67" i="10" s="1"/>
  <c r="S66" i="10"/>
  <c r="AK66" i="10" s="1"/>
  <c r="R66" i="10"/>
  <c r="AJ66" i="10" s="1"/>
  <c r="AD66" i="10" s="1"/>
  <c r="Q66" i="10"/>
  <c r="AI66" i="10" s="1"/>
  <c r="W66" i="10" s="1"/>
  <c r="P66" i="10"/>
  <c r="AH66" i="10" s="1"/>
  <c r="O66" i="10"/>
  <c r="AG66" i="10" s="1"/>
  <c r="S65" i="10"/>
  <c r="AK65" i="10" s="1"/>
  <c r="R65" i="10"/>
  <c r="AJ65" i="10" s="1"/>
  <c r="AD65" i="10" s="1"/>
  <c r="Q65" i="10"/>
  <c r="AI65" i="10" s="1"/>
  <c r="W65" i="10" s="1"/>
  <c r="P65" i="10"/>
  <c r="AH65" i="10" s="1"/>
  <c r="O65" i="10"/>
  <c r="AG65" i="10" s="1"/>
  <c r="AK64" i="10"/>
  <c r="Y64" i="10" s="1"/>
  <c r="AJ64" i="10"/>
  <c r="AD64" i="10" s="1"/>
  <c r="AI64" i="10"/>
  <c r="AH64" i="10"/>
  <c r="AG64" i="10"/>
  <c r="U64" i="10" s="1"/>
  <c r="S64" i="10"/>
  <c r="R64" i="10"/>
  <c r="Q64" i="10"/>
  <c r="P64" i="10"/>
  <c r="O64" i="10"/>
  <c r="S63" i="10"/>
  <c r="AK63" i="10" s="1"/>
  <c r="R63" i="10"/>
  <c r="AJ63" i="10" s="1"/>
  <c r="AD63" i="10" s="1"/>
  <c r="Q63" i="10"/>
  <c r="AI63" i="10" s="1"/>
  <c r="P63" i="10"/>
  <c r="AH63" i="10" s="1"/>
  <c r="O63" i="10"/>
  <c r="AG63" i="10" s="1"/>
  <c r="S62" i="10"/>
  <c r="AK62" i="10" s="1"/>
  <c r="AE62" i="10" s="1"/>
  <c r="R62" i="10"/>
  <c r="AJ62" i="10" s="1"/>
  <c r="AD62" i="10" s="1"/>
  <c r="Q62" i="10"/>
  <c r="AI62" i="10" s="1"/>
  <c r="P62" i="10"/>
  <c r="AH62" i="10" s="1"/>
  <c r="O62" i="10"/>
  <c r="AG62" i="10" s="1"/>
  <c r="AA62" i="10" s="1"/>
  <c r="S61" i="10"/>
  <c r="AK61" i="10" s="1"/>
  <c r="AE61" i="10" s="1"/>
  <c r="R61" i="10"/>
  <c r="AJ61" i="10" s="1"/>
  <c r="AD61" i="10" s="1"/>
  <c r="Q61" i="10"/>
  <c r="AI61" i="10" s="1"/>
  <c r="P61" i="10"/>
  <c r="AH61" i="10" s="1"/>
  <c r="O61" i="10"/>
  <c r="AG61" i="10" s="1"/>
  <c r="AA61" i="10" s="1"/>
  <c r="S60" i="10"/>
  <c r="AK60" i="10" s="1"/>
  <c r="AE60" i="10" s="1"/>
  <c r="R60" i="10"/>
  <c r="AJ60" i="10" s="1"/>
  <c r="X60" i="10" s="1"/>
  <c r="Q60" i="10"/>
  <c r="AI60" i="10" s="1"/>
  <c r="P60" i="10"/>
  <c r="AH60" i="10" s="1"/>
  <c r="O60" i="10"/>
  <c r="AG60" i="10" s="1"/>
  <c r="AA60" i="10" s="1"/>
  <c r="S59" i="10"/>
  <c r="AK59" i="10" s="1"/>
  <c r="AE59" i="10" s="1"/>
  <c r="R59" i="10"/>
  <c r="AJ59" i="10" s="1"/>
  <c r="X59" i="10" s="1"/>
  <c r="Q59" i="10"/>
  <c r="AI59" i="10" s="1"/>
  <c r="P59" i="10"/>
  <c r="AH59" i="10" s="1"/>
  <c r="O59" i="10"/>
  <c r="AG59" i="10" s="1"/>
  <c r="AA59" i="10" s="1"/>
  <c r="S58" i="10"/>
  <c r="AK58" i="10" s="1"/>
  <c r="AE58" i="10" s="1"/>
  <c r="R58" i="10"/>
  <c r="AJ58" i="10" s="1"/>
  <c r="AD58" i="10" s="1"/>
  <c r="Q58" i="10"/>
  <c r="AI58" i="10" s="1"/>
  <c r="P58" i="10"/>
  <c r="AH58" i="10" s="1"/>
  <c r="O58" i="10"/>
  <c r="AG58" i="10" s="1"/>
  <c r="AA58" i="10" s="1"/>
  <c r="S57" i="10"/>
  <c r="AK57" i="10" s="1"/>
  <c r="R57" i="10"/>
  <c r="AJ57" i="10" s="1"/>
  <c r="X57" i="10" s="1"/>
  <c r="Q57" i="10"/>
  <c r="AI57" i="10" s="1"/>
  <c r="P57" i="10"/>
  <c r="AH57" i="10" s="1"/>
  <c r="O57" i="10"/>
  <c r="AG57" i="10" s="1"/>
  <c r="S56" i="10"/>
  <c r="AK56" i="10" s="1"/>
  <c r="R56" i="10"/>
  <c r="AJ56" i="10" s="1"/>
  <c r="X56" i="10" s="1"/>
  <c r="Q56" i="10"/>
  <c r="AI56" i="10" s="1"/>
  <c r="P56" i="10"/>
  <c r="AH56" i="10" s="1"/>
  <c r="O56" i="10"/>
  <c r="AG56" i="10" s="1"/>
  <c r="S55" i="10"/>
  <c r="AK55" i="10" s="1"/>
  <c r="R55" i="10"/>
  <c r="AJ55" i="10" s="1"/>
  <c r="X55" i="10" s="1"/>
  <c r="Q55" i="10"/>
  <c r="AI55" i="10" s="1"/>
  <c r="P55" i="10"/>
  <c r="AH55" i="10" s="1"/>
  <c r="O55" i="10"/>
  <c r="AG55" i="10" s="1"/>
  <c r="S54" i="10"/>
  <c r="AK54" i="10" s="1"/>
  <c r="R54" i="10"/>
  <c r="AJ54" i="10" s="1"/>
  <c r="X54" i="10" s="1"/>
  <c r="Q54" i="10"/>
  <c r="AI54" i="10" s="1"/>
  <c r="P54" i="10"/>
  <c r="AH54" i="10" s="1"/>
  <c r="O54" i="10"/>
  <c r="AG54" i="10" s="1"/>
  <c r="S53" i="10"/>
  <c r="AK53" i="10" s="1"/>
  <c r="R53" i="10"/>
  <c r="AJ53" i="10" s="1"/>
  <c r="X53" i="10" s="1"/>
  <c r="Q53" i="10"/>
  <c r="AI53" i="10" s="1"/>
  <c r="P53" i="10"/>
  <c r="AH53" i="10" s="1"/>
  <c r="O53" i="10"/>
  <c r="AG53" i="10" s="1"/>
  <c r="S52" i="10"/>
  <c r="AK52" i="10" s="1"/>
  <c r="R52" i="10"/>
  <c r="AJ52" i="10" s="1"/>
  <c r="X52" i="10" s="1"/>
  <c r="Q52" i="10"/>
  <c r="AI52" i="10" s="1"/>
  <c r="P52" i="10"/>
  <c r="AH52" i="10" s="1"/>
  <c r="O52" i="10"/>
  <c r="AG52" i="10" s="1"/>
  <c r="S51" i="10"/>
  <c r="AK51" i="10" s="1"/>
  <c r="R51" i="10"/>
  <c r="AJ51" i="10" s="1"/>
  <c r="X51" i="10" s="1"/>
  <c r="Q51" i="10"/>
  <c r="AI51" i="10" s="1"/>
  <c r="P51" i="10"/>
  <c r="AH51" i="10" s="1"/>
  <c r="O51" i="10"/>
  <c r="AG51" i="10" s="1"/>
  <c r="S50" i="10"/>
  <c r="AK50" i="10" s="1"/>
  <c r="R50" i="10"/>
  <c r="AJ50" i="10" s="1"/>
  <c r="X50" i="10" s="1"/>
  <c r="Q50" i="10"/>
  <c r="AI50" i="10" s="1"/>
  <c r="P50" i="10"/>
  <c r="AH50" i="10" s="1"/>
  <c r="O50" i="10"/>
  <c r="AG50" i="10" s="1"/>
  <c r="S49" i="10"/>
  <c r="AK49" i="10" s="1"/>
  <c r="R49" i="10"/>
  <c r="AJ49" i="10" s="1"/>
  <c r="X49" i="10" s="1"/>
  <c r="Q49" i="10"/>
  <c r="AI49" i="10" s="1"/>
  <c r="P49" i="10"/>
  <c r="AH49" i="10" s="1"/>
  <c r="O49" i="10"/>
  <c r="AG49" i="10" s="1"/>
  <c r="S48" i="10"/>
  <c r="AK48" i="10" s="1"/>
  <c r="R48" i="10"/>
  <c r="AJ48" i="10" s="1"/>
  <c r="X48" i="10" s="1"/>
  <c r="Q48" i="10"/>
  <c r="AI48" i="10" s="1"/>
  <c r="P48" i="10"/>
  <c r="AH48" i="10" s="1"/>
  <c r="O48" i="10"/>
  <c r="AG48" i="10" s="1"/>
  <c r="S47" i="10"/>
  <c r="AK47" i="10" s="1"/>
  <c r="R47" i="10"/>
  <c r="AJ47" i="10" s="1"/>
  <c r="X47" i="10" s="1"/>
  <c r="Q47" i="10"/>
  <c r="AI47" i="10" s="1"/>
  <c r="P47" i="10"/>
  <c r="AH47" i="10" s="1"/>
  <c r="O47" i="10"/>
  <c r="AG47" i="10" s="1"/>
  <c r="S46" i="10"/>
  <c r="AK46" i="10" s="1"/>
  <c r="R46" i="10"/>
  <c r="AJ46" i="10" s="1"/>
  <c r="X46" i="10" s="1"/>
  <c r="Q46" i="10"/>
  <c r="AI46" i="10" s="1"/>
  <c r="P46" i="10"/>
  <c r="AH46" i="10" s="1"/>
  <c r="O46" i="10"/>
  <c r="AG46" i="10" s="1"/>
  <c r="S45" i="10"/>
  <c r="AK45" i="10" s="1"/>
  <c r="R45" i="10"/>
  <c r="AJ45" i="10" s="1"/>
  <c r="X45" i="10" s="1"/>
  <c r="Q45" i="10"/>
  <c r="AI45" i="10" s="1"/>
  <c r="P45" i="10"/>
  <c r="AH45" i="10" s="1"/>
  <c r="O45" i="10"/>
  <c r="AG45" i="10" s="1"/>
  <c r="S44" i="10"/>
  <c r="AK44" i="10" s="1"/>
  <c r="R44" i="10"/>
  <c r="AJ44" i="10" s="1"/>
  <c r="X44" i="10" s="1"/>
  <c r="Q44" i="10"/>
  <c r="AI44" i="10" s="1"/>
  <c r="P44" i="10"/>
  <c r="AH44" i="10" s="1"/>
  <c r="O44" i="10"/>
  <c r="AG44" i="10" s="1"/>
  <c r="S43" i="10"/>
  <c r="AK43" i="10" s="1"/>
  <c r="R43" i="10"/>
  <c r="AJ43" i="10" s="1"/>
  <c r="X43" i="10" s="1"/>
  <c r="Q43" i="10"/>
  <c r="AI43" i="10" s="1"/>
  <c r="P43" i="10"/>
  <c r="AH43" i="10" s="1"/>
  <c r="AB43" i="10" s="1"/>
  <c r="O43" i="10"/>
  <c r="AG43" i="10" s="1"/>
  <c r="U43" i="10" s="1"/>
  <c r="S42" i="10"/>
  <c r="AK42" i="10" s="1"/>
  <c r="Y42" i="10" s="1"/>
  <c r="R42" i="10"/>
  <c r="AJ42" i="10" s="1"/>
  <c r="Q42" i="10"/>
  <c r="AI42" i="10" s="1"/>
  <c r="P42" i="10"/>
  <c r="AH42" i="10" s="1"/>
  <c r="AB42" i="10" s="1"/>
  <c r="O42" i="10"/>
  <c r="AG42" i="10" s="1"/>
  <c r="U42" i="10" s="1"/>
  <c r="S41" i="10"/>
  <c r="AK41" i="10" s="1"/>
  <c r="Y41" i="10" s="1"/>
  <c r="R41" i="10"/>
  <c r="AJ41" i="10" s="1"/>
  <c r="Q41" i="10"/>
  <c r="AI41" i="10" s="1"/>
  <c r="P41" i="10"/>
  <c r="AH41" i="10" s="1"/>
  <c r="AB41" i="10" s="1"/>
  <c r="O41" i="10"/>
  <c r="AG41" i="10" s="1"/>
  <c r="U41" i="10" s="1"/>
  <c r="S40" i="10"/>
  <c r="AK40" i="10" s="1"/>
  <c r="Y40" i="10" s="1"/>
  <c r="R40" i="10"/>
  <c r="AJ40" i="10" s="1"/>
  <c r="Q40" i="10"/>
  <c r="AI40" i="10" s="1"/>
  <c r="P40" i="10"/>
  <c r="AH40" i="10" s="1"/>
  <c r="AB40" i="10" s="1"/>
  <c r="O40" i="10"/>
  <c r="AG40" i="10" s="1"/>
  <c r="U40" i="10" s="1"/>
  <c r="AI39" i="10"/>
  <c r="Q39" i="10" s="1"/>
  <c r="AE39" i="10"/>
  <c r="AD39" i="10"/>
  <c r="AB39" i="10"/>
  <c r="AA39" i="10"/>
  <c r="Y39" i="10"/>
  <c r="X39" i="10"/>
  <c r="V39" i="10"/>
  <c r="U39" i="10"/>
  <c r="S39" i="10"/>
  <c r="R39" i="10"/>
  <c r="P39" i="10"/>
  <c r="O39" i="10"/>
  <c r="S38" i="10"/>
  <c r="AK38" i="10" s="1"/>
  <c r="Y38" i="10" s="1"/>
  <c r="R38" i="10"/>
  <c r="AJ38" i="10" s="1"/>
  <c r="Q38" i="10"/>
  <c r="AI38" i="10" s="1"/>
  <c r="P38" i="10"/>
  <c r="AH38" i="10" s="1"/>
  <c r="AB38" i="10" s="1"/>
  <c r="O38" i="10"/>
  <c r="AG38" i="10" s="1"/>
  <c r="U38" i="10" s="1"/>
  <c r="S37" i="10"/>
  <c r="AK37" i="10" s="1"/>
  <c r="Y37" i="10" s="1"/>
  <c r="R37" i="10"/>
  <c r="AJ37" i="10" s="1"/>
  <c r="Q37" i="10"/>
  <c r="AI37" i="10" s="1"/>
  <c r="P37" i="10"/>
  <c r="AH37" i="10" s="1"/>
  <c r="AB37" i="10" s="1"/>
  <c r="O37" i="10"/>
  <c r="AG37" i="10" s="1"/>
  <c r="U37" i="10" s="1"/>
  <c r="S36" i="10"/>
  <c r="AK36" i="10" s="1"/>
  <c r="Y36" i="10" s="1"/>
  <c r="R36" i="10"/>
  <c r="AJ36" i="10" s="1"/>
  <c r="Q36" i="10"/>
  <c r="AI36" i="10" s="1"/>
  <c r="P36" i="10"/>
  <c r="AH36" i="10" s="1"/>
  <c r="AB36" i="10" s="1"/>
  <c r="O36" i="10"/>
  <c r="AG36" i="10" s="1"/>
  <c r="U36" i="10" s="1"/>
  <c r="S35" i="10"/>
  <c r="AK35" i="10" s="1"/>
  <c r="Y35" i="10" s="1"/>
  <c r="R35" i="10"/>
  <c r="AJ35" i="10" s="1"/>
  <c r="Q35" i="10"/>
  <c r="AI35" i="10" s="1"/>
  <c r="P35" i="10"/>
  <c r="AH35" i="10" s="1"/>
  <c r="AB35" i="10" s="1"/>
  <c r="O35" i="10"/>
  <c r="AG35" i="10" s="1"/>
  <c r="U35" i="10" s="1"/>
  <c r="S34" i="10"/>
  <c r="AK34" i="10" s="1"/>
  <c r="Y34" i="10" s="1"/>
  <c r="R34" i="10"/>
  <c r="AJ34" i="10" s="1"/>
  <c r="Q34" i="10"/>
  <c r="AI34" i="10" s="1"/>
  <c r="P34" i="10"/>
  <c r="AH34" i="10" s="1"/>
  <c r="AB34" i="10" s="1"/>
  <c r="O34" i="10"/>
  <c r="AG34" i="10" s="1"/>
  <c r="U34" i="10" s="1"/>
  <c r="S33" i="10"/>
  <c r="AK33" i="10" s="1"/>
  <c r="Y33" i="10" s="1"/>
  <c r="R33" i="10"/>
  <c r="AJ33" i="10" s="1"/>
  <c r="Q33" i="10"/>
  <c r="AI33" i="10" s="1"/>
  <c r="P33" i="10"/>
  <c r="AH33" i="10" s="1"/>
  <c r="AB33" i="10" s="1"/>
  <c r="O33" i="10"/>
  <c r="AG33" i="10" s="1"/>
  <c r="U33" i="10" s="1"/>
  <c r="S32" i="10"/>
  <c r="AK32" i="10" s="1"/>
  <c r="Y32" i="10" s="1"/>
  <c r="R32" i="10"/>
  <c r="AJ32" i="10" s="1"/>
  <c r="Q32" i="10"/>
  <c r="AI32" i="10" s="1"/>
  <c r="P32" i="10"/>
  <c r="AH32" i="10" s="1"/>
  <c r="AB32" i="10" s="1"/>
  <c r="O32" i="10"/>
  <c r="AG32" i="10" s="1"/>
  <c r="U32" i="10" s="1"/>
  <c r="S31" i="10"/>
  <c r="AK31" i="10" s="1"/>
  <c r="Y31" i="10" s="1"/>
  <c r="R31" i="10"/>
  <c r="AJ31" i="10" s="1"/>
  <c r="Q31" i="10"/>
  <c r="AI31" i="10" s="1"/>
  <c r="P31" i="10"/>
  <c r="AH31" i="10" s="1"/>
  <c r="AB31" i="10" s="1"/>
  <c r="O31" i="10"/>
  <c r="AG31" i="10" s="1"/>
  <c r="U31" i="10" s="1"/>
  <c r="S30" i="10"/>
  <c r="AK30" i="10" s="1"/>
  <c r="Y30" i="10" s="1"/>
  <c r="R30" i="10"/>
  <c r="AJ30" i="10" s="1"/>
  <c r="Q30" i="10"/>
  <c r="AI30" i="10" s="1"/>
  <c r="P30" i="10"/>
  <c r="AH30" i="10" s="1"/>
  <c r="AB30" i="10" s="1"/>
  <c r="O30" i="10"/>
  <c r="AG30" i="10" s="1"/>
  <c r="U30" i="10" s="1"/>
  <c r="S29" i="10"/>
  <c r="AK29" i="10" s="1"/>
  <c r="Y29" i="10" s="1"/>
  <c r="R29" i="10"/>
  <c r="AJ29" i="10" s="1"/>
  <c r="Q29" i="10"/>
  <c r="AI29" i="10" s="1"/>
  <c r="P29" i="10"/>
  <c r="AH29" i="10" s="1"/>
  <c r="AB29" i="10" s="1"/>
  <c r="O29" i="10"/>
  <c r="AG29" i="10" s="1"/>
  <c r="U29" i="10" s="1"/>
  <c r="S28" i="10"/>
  <c r="AK28" i="10" s="1"/>
  <c r="Y28" i="10" s="1"/>
  <c r="R28" i="10"/>
  <c r="AJ28" i="10" s="1"/>
  <c r="Q28" i="10"/>
  <c r="AI28" i="10" s="1"/>
  <c r="P28" i="10"/>
  <c r="AH28" i="10" s="1"/>
  <c r="AB28" i="10" s="1"/>
  <c r="O28" i="10"/>
  <c r="AG28" i="10" s="1"/>
  <c r="U28" i="10" s="1"/>
  <c r="S27" i="10"/>
  <c r="AK27" i="10" s="1"/>
  <c r="Y27" i="10" s="1"/>
  <c r="R27" i="10"/>
  <c r="AJ27" i="10" s="1"/>
  <c r="Q27" i="10"/>
  <c r="AI27" i="10" s="1"/>
  <c r="P27" i="10"/>
  <c r="AH27" i="10" s="1"/>
  <c r="AB27" i="10" s="1"/>
  <c r="O27" i="10"/>
  <c r="AG27" i="10" s="1"/>
  <c r="U27" i="10" s="1"/>
  <c r="S26" i="10"/>
  <c r="AK26" i="10" s="1"/>
  <c r="AE26" i="10" s="1"/>
  <c r="R26" i="10"/>
  <c r="AJ26" i="10" s="1"/>
  <c r="AD26" i="10" s="1"/>
  <c r="Q26" i="10"/>
  <c r="AI26" i="10" s="1"/>
  <c r="W26" i="10" s="1"/>
  <c r="P26" i="10"/>
  <c r="AH26" i="10" s="1"/>
  <c r="AB26" i="10" s="1"/>
  <c r="O26" i="10"/>
  <c r="AG26" i="10" s="1"/>
  <c r="AA26" i="10" s="1"/>
  <c r="S25" i="10"/>
  <c r="AK25" i="10" s="1"/>
  <c r="AE25" i="10" s="1"/>
  <c r="R25" i="10"/>
  <c r="AJ25" i="10" s="1"/>
  <c r="Q25" i="10"/>
  <c r="AI25" i="10" s="1"/>
  <c r="P25" i="10"/>
  <c r="AH25" i="10" s="1"/>
  <c r="O25" i="10"/>
  <c r="AG25" i="10" s="1"/>
  <c r="AA25" i="10" s="1"/>
  <c r="S24" i="10"/>
  <c r="AK24" i="10" s="1"/>
  <c r="R24" i="10"/>
  <c r="AJ24" i="10" s="1"/>
  <c r="Q24" i="10"/>
  <c r="AI24" i="10" s="1"/>
  <c r="P24" i="10"/>
  <c r="AH24" i="10" s="1"/>
  <c r="AB24" i="10" s="1"/>
  <c r="O24" i="10"/>
  <c r="AG24" i="10" s="1"/>
  <c r="S23" i="10"/>
  <c r="AK23" i="10" s="1"/>
  <c r="R23" i="10"/>
  <c r="AJ23" i="10" s="1"/>
  <c r="Q23" i="10"/>
  <c r="AI23" i="10" s="1"/>
  <c r="P23" i="10"/>
  <c r="AH23" i="10" s="1"/>
  <c r="AB23" i="10" s="1"/>
  <c r="O23" i="10"/>
  <c r="AG23" i="10" s="1"/>
  <c r="S22" i="10"/>
  <c r="AK22" i="10" s="1"/>
  <c r="R22" i="10"/>
  <c r="AJ22" i="10" s="1"/>
  <c r="Q22" i="10"/>
  <c r="AI22" i="10" s="1"/>
  <c r="P22" i="10"/>
  <c r="AH22" i="10" s="1"/>
  <c r="AB22" i="10" s="1"/>
  <c r="O22" i="10"/>
  <c r="AG22" i="10" s="1"/>
  <c r="S21" i="10"/>
  <c r="AK21" i="10" s="1"/>
  <c r="R21" i="10"/>
  <c r="AJ21" i="10" s="1"/>
  <c r="Q21" i="10"/>
  <c r="AI21" i="10" s="1"/>
  <c r="P21" i="10"/>
  <c r="AH21" i="10" s="1"/>
  <c r="AB21" i="10" s="1"/>
  <c r="O21" i="10"/>
  <c r="AG21" i="10" s="1"/>
  <c r="S20" i="10"/>
  <c r="AK20" i="10" s="1"/>
  <c r="R20" i="10"/>
  <c r="AJ20" i="10" s="1"/>
  <c r="Q20" i="10"/>
  <c r="AI20" i="10" s="1"/>
  <c r="P20" i="10"/>
  <c r="AH20" i="10" s="1"/>
  <c r="AB20" i="10" s="1"/>
  <c r="O20" i="10"/>
  <c r="AG20" i="10" s="1"/>
  <c r="S19" i="10"/>
  <c r="AK19" i="10" s="1"/>
  <c r="R19" i="10"/>
  <c r="AJ19" i="10" s="1"/>
  <c r="Q19" i="10"/>
  <c r="AI19" i="10" s="1"/>
  <c r="P19" i="10"/>
  <c r="AH19" i="10" s="1"/>
  <c r="AB19" i="10" s="1"/>
  <c r="O19" i="10"/>
  <c r="AG19" i="10" s="1"/>
  <c r="S18" i="10"/>
  <c r="AK18" i="10" s="1"/>
  <c r="R18" i="10"/>
  <c r="AJ18" i="10" s="1"/>
  <c r="Q18" i="10"/>
  <c r="AI18" i="10" s="1"/>
  <c r="P18" i="10"/>
  <c r="AH18" i="10" s="1"/>
  <c r="AB18" i="10" s="1"/>
  <c r="O18" i="10"/>
  <c r="AG18" i="10" s="1"/>
  <c r="AI17" i="10"/>
  <c r="Q17" i="10" s="1"/>
  <c r="AE17" i="10"/>
  <c r="AD17" i="10"/>
  <c r="AB17" i="10"/>
  <c r="AA17" i="10"/>
  <c r="Y17" i="10"/>
  <c r="X17" i="10"/>
  <c r="V17" i="10"/>
  <c r="U17" i="10"/>
  <c r="S17" i="10"/>
  <c r="R17" i="10"/>
  <c r="P17" i="10"/>
  <c r="O17" i="10"/>
  <c r="S16" i="10"/>
  <c r="AK16" i="10" s="1"/>
  <c r="R16" i="10"/>
  <c r="AJ16" i="10" s="1"/>
  <c r="Q16" i="10"/>
  <c r="AI16" i="10" s="1"/>
  <c r="P16" i="10"/>
  <c r="AH16" i="10" s="1"/>
  <c r="AB16" i="10" s="1"/>
  <c r="O16" i="10"/>
  <c r="AG16" i="10" s="1"/>
  <c r="S15" i="10"/>
  <c r="AK15" i="10" s="1"/>
  <c r="R15" i="10"/>
  <c r="AJ15" i="10" s="1"/>
  <c r="Q15" i="10"/>
  <c r="AI15" i="10" s="1"/>
  <c r="P15" i="10"/>
  <c r="AH15" i="10" s="1"/>
  <c r="AB15" i="10" s="1"/>
  <c r="O15" i="10"/>
  <c r="AG15" i="10" s="1"/>
  <c r="S14" i="10"/>
  <c r="AK14" i="10" s="1"/>
  <c r="R14" i="10"/>
  <c r="AJ14" i="10" s="1"/>
  <c r="Q14" i="10"/>
  <c r="AI14" i="10" s="1"/>
  <c r="P14" i="10"/>
  <c r="AH14" i="10" s="1"/>
  <c r="AB14" i="10" s="1"/>
  <c r="O14" i="10"/>
  <c r="AG14" i="10" s="1"/>
  <c r="S13" i="10"/>
  <c r="AK13" i="10" s="1"/>
  <c r="R13" i="10"/>
  <c r="AJ13" i="10" s="1"/>
  <c r="Q13" i="10"/>
  <c r="AI13" i="10" s="1"/>
  <c r="P13" i="10"/>
  <c r="AH13" i="10" s="1"/>
  <c r="AB13" i="10" s="1"/>
  <c r="O13" i="10"/>
  <c r="AG13" i="10" s="1"/>
  <c r="AI12" i="10"/>
  <c r="Q12" i="10" s="1"/>
  <c r="AE12" i="10"/>
  <c r="AD12" i="10"/>
  <c r="AB12" i="10"/>
  <c r="AA12" i="10"/>
  <c r="Y12" i="10"/>
  <c r="X12" i="10"/>
  <c r="V12" i="10"/>
  <c r="U12" i="10"/>
  <c r="S12" i="10"/>
  <c r="R12" i="10"/>
  <c r="P12" i="10"/>
  <c r="O12" i="10"/>
  <c r="AI11" i="10"/>
  <c r="Q11" i="10" s="1"/>
  <c r="AE11" i="10"/>
  <c r="AD11" i="10"/>
  <c r="AB11" i="10"/>
  <c r="AA11" i="10"/>
  <c r="Y11" i="10"/>
  <c r="X11" i="10"/>
  <c r="V11" i="10"/>
  <c r="U11" i="10"/>
  <c r="S11" i="10"/>
  <c r="R11" i="10"/>
  <c r="P11" i="10"/>
  <c r="O11" i="10"/>
  <c r="S10" i="10"/>
  <c r="AK10" i="10" s="1"/>
  <c r="R10" i="10"/>
  <c r="AJ10" i="10" s="1"/>
  <c r="Q10" i="10"/>
  <c r="AI10" i="10" s="1"/>
  <c r="P10" i="10"/>
  <c r="AH10" i="10" s="1"/>
  <c r="AB10" i="10" s="1"/>
  <c r="O10" i="10"/>
  <c r="AG10" i="10" s="1"/>
  <c r="S9" i="10"/>
  <c r="AK9" i="10" s="1"/>
  <c r="R9" i="10"/>
  <c r="AJ9" i="10" s="1"/>
  <c r="Q9" i="10"/>
  <c r="AI9" i="10" s="1"/>
  <c r="P9" i="10"/>
  <c r="AH9" i="10" s="1"/>
  <c r="AB9" i="10" s="1"/>
  <c r="O9" i="10"/>
  <c r="AG9" i="10" s="1"/>
  <c r="D35" i="9"/>
  <c r="C35" i="9"/>
  <c r="B35" i="9"/>
  <c r="C20" i="6" s="1"/>
  <c r="D34" i="9"/>
  <c r="C34" i="9"/>
  <c r="B34" i="9"/>
  <c r="C19" i="6" s="1"/>
  <c r="D33" i="9"/>
  <c r="C33" i="9"/>
  <c r="B33" i="9"/>
  <c r="C18" i="6" s="1"/>
  <c r="D32" i="9"/>
  <c r="C32" i="9"/>
  <c r="B32" i="9"/>
  <c r="C12" i="6" s="1"/>
  <c r="C16" i="6" s="1"/>
  <c r="A3" i="8"/>
  <c r="A3" i="11" s="1"/>
  <c r="A3" i="12" s="1"/>
  <c r="A3" i="13" s="1"/>
  <c r="F28" i="7"/>
  <c r="F27" i="7"/>
  <c r="F25" i="7"/>
  <c r="F18" i="7"/>
  <c r="F15" i="7"/>
  <c r="F13" i="7"/>
  <c r="F11" i="7"/>
  <c r="C10" i="7"/>
  <c r="A4" i="7"/>
  <c r="G28" i="6"/>
  <c r="G25" i="6"/>
  <c r="G24" i="6"/>
  <c r="G23" i="6"/>
  <c r="F16" i="6"/>
  <c r="F21" i="6" s="1"/>
  <c r="F26" i="6" s="1"/>
  <c r="F29" i="6" s="1"/>
  <c r="E16" i="6"/>
  <c r="E21" i="6" s="1"/>
  <c r="E26" i="6" s="1"/>
  <c r="E29" i="6" s="1"/>
  <c r="G15" i="6"/>
  <c r="G14" i="6"/>
  <c r="G13" i="6"/>
  <c r="G10" i="6"/>
  <c r="A4" i="6"/>
  <c r="C27" i="5"/>
  <c r="C15" i="5"/>
  <c r="C16" i="5" s="1"/>
  <c r="C18" i="5" s="1"/>
  <c r="C23" i="5" s="1"/>
  <c r="A4" i="5"/>
  <c r="C20" i="4"/>
  <c r="C19" i="4"/>
  <c r="A4" i="4"/>
  <c r="F54" i="3"/>
  <c r="C54" i="3"/>
  <c r="C43" i="3"/>
  <c r="F45" i="3"/>
  <c r="F33" i="3"/>
  <c r="F28" i="3"/>
  <c r="F16" i="3"/>
  <c r="AD362" i="10" l="1"/>
  <c r="AD254" i="10"/>
  <c r="X402" i="10"/>
  <c r="AD474" i="10"/>
  <c r="AD470" i="10"/>
  <c r="AD294" i="10"/>
  <c r="AD490" i="10"/>
  <c r="AD478" i="10"/>
  <c r="D9" i="9"/>
  <c r="AD486" i="10"/>
  <c r="D7" i="9"/>
  <c r="D10" i="9"/>
  <c r="J504" i="10"/>
  <c r="D8" i="9" s="1"/>
  <c r="H521" i="10"/>
  <c r="H525" i="10" s="1"/>
  <c r="B8" i="9"/>
  <c r="B13" i="9" s="1"/>
  <c r="AE473" i="10"/>
  <c r="J15" i="13"/>
  <c r="M15" i="13" s="1"/>
  <c r="J19" i="13"/>
  <c r="M19" i="13" s="1"/>
  <c r="J23" i="13"/>
  <c r="M23" i="13" s="1"/>
  <c r="J27" i="13"/>
  <c r="M27" i="13" s="1"/>
  <c r="V27" i="13" s="1"/>
  <c r="X27" i="13" s="1"/>
  <c r="H129" i="13"/>
  <c r="J13" i="13"/>
  <c r="J17" i="13"/>
  <c r="M17" i="13" s="1"/>
  <c r="J21" i="13"/>
  <c r="M21" i="13" s="1"/>
  <c r="V21" i="13" s="1"/>
  <c r="X21" i="13" s="1"/>
  <c r="J25" i="13"/>
  <c r="M25" i="13" s="1"/>
  <c r="V57" i="13"/>
  <c r="X57" i="13" s="1"/>
  <c r="J127" i="13"/>
  <c r="D232" i="1" s="1"/>
  <c r="Q127" i="13"/>
  <c r="E10" i="7" s="1"/>
  <c r="E19" i="7" s="1"/>
  <c r="T261" i="11"/>
  <c r="X292" i="10"/>
  <c r="AD440" i="10"/>
  <c r="AD287" i="10"/>
  <c r="W395" i="10"/>
  <c r="AC431" i="10"/>
  <c r="AD356" i="10"/>
  <c r="AD412" i="10"/>
  <c r="AC451" i="10"/>
  <c r="AD291" i="10"/>
  <c r="AE64" i="10"/>
  <c r="X266" i="10"/>
  <c r="Y228" i="10"/>
  <c r="Y290" i="10"/>
  <c r="AB366" i="10"/>
  <c r="AC366" i="10"/>
  <c r="AA64" i="10"/>
  <c r="X107" i="10"/>
  <c r="V291" i="10"/>
  <c r="V293" i="10"/>
  <c r="AA294" i="10"/>
  <c r="Y346" i="10"/>
  <c r="V348" i="10"/>
  <c r="Q197" i="10"/>
  <c r="Y292" i="10"/>
  <c r="Y293" i="10"/>
  <c r="Y414" i="10"/>
  <c r="AC254" i="10"/>
  <c r="W255" i="10"/>
  <c r="AD279" i="10"/>
  <c r="U348" i="10"/>
  <c r="X405" i="10"/>
  <c r="AD451" i="10"/>
  <c r="W39" i="10"/>
  <c r="AB362" i="10"/>
  <c r="U467" i="10"/>
  <c r="AD494" i="10"/>
  <c r="W171" i="10"/>
  <c r="Y348" i="10"/>
  <c r="U349" i="10"/>
  <c r="U352" i="10"/>
  <c r="V391" i="10"/>
  <c r="U431" i="10"/>
  <c r="V463" i="10"/>
  <c r="AD366" i="10"/>
  <c r="W408" i="10"/>
  <c r="AC377" i="10"/>
  <c r="AE379" i="10"/>
  <c r="AD59" i="10"/>
  <c r="W17" i="10"/>
  <c r="W115" i="10"/>
  <c r="W141" i="10"/>
  <c r="X196" i="10"/>
  <c r="W197" i="10"/>
  <c r="U292" i="10"/>
  <c r="W391" i="10"/>
  <c r="AC406" i="10"/>
  <c r="U414" i="10"/>
  <c r="AB431" i="10"/>
  <c r="AC200" i="10"/>
  <c r="X203" i="10"/>
  <c r="AD226" i="10"/>
  <c r="U226" i="10"/>
  <c r="AC228" i="10"/>
  <c r="X215" i="10"/>
  <c r="AA228" i="10"/>
  <c r="AD431" i="10"/>
  <c r="W12" i="10"/>
  <c r="Y170" i="10"/>
  <c r="Y172" i="10"/>
  <c r="AC81" i="10"/>
  <c r="U199" i="10"/>
  <c r="U200" i="10"/>
  <c r="W219" i="10"/>
  <c r="V244" i="10"/>
  <c r="AA320" i="10"/>
  <c r="AA336" i="10"/>
  <c r="AA337" i="10"/>
  <c r="AA346" i="10"/>
  <c r="V389" i="10"/>
  <c r="W392" i="10"/>
  <c r="W401" i="10"/>
  <c r="AE408" i="10"/>
  <c r="X423" i="10"/>
  <c r="AB497" i="10"/>
  <c r="Y175" i="10"/>
  <c r="Y337" i="10"/>
  <c r="V392" i="10"/>
  <c r="W404" i="10"/>
  <c r="AB440" i="10"/>
  <c r="AC39" i="10"/>
  <c r="Y199" i="10"/>
  <c r="AE255" i="10"/>
  <c r="X257" i="10"/>
  <c r="AB335" i="10"/>
  <c r="V339" i="10"/>
  <c r="AB423" i="10"/>
  <c r="AE457" i="10"/>
  <c r="AB482" i="10"/>
  <c r="W11" i="10"/>
  <c r="AC11" i="10"/>
  <c r="U62" i="10"/>
  <c r="AC115" i="10"/>
  <c r="W154" i="10"/>
  <c r="Y158" i="10"/>
  <c r="AC268" i="10"/>
  <c r="AA312" i="10"/>
  <c r="U334" i="10"/>
  <c r="U345" i="10"/>
  <c r="AA377" i="10"/>
  <c r="AA406" i="10"/>
  <c r="AC471" i="10"/>
  <c r="AC475" i="10"/>
  <c r="AE499" i="10"/>
  <c r="AB502" i="10"/>
  <c r="AD280" i="10"/>
  <c r="AC362" i="10"/>
  <c r="U60" i="10"/>
  <c r="X68" i="10"/>
  <c r="AC141" i="10"/>
  <c r="Y165" i="10"/>
  <c r="U176" i="10"/>
  <c r="Y200" i="10"/>
  <c r="X207" i="10"/>
  <c r="X261" i="10"/>
  <c r="X271" i="10"/>
  <c r="AB279" i="10"/>
  <c r="U280" i="10"/>
  <c r="U301" i="10"/>
  <c r="V334" i="10"/>
  <c r="U335" i="10"/>
  <c r="Y339" i="10"/>
  <c r="U340" i="10"/>
  <c r="U343" i="10"/>
  <c r="V345" i="10"/>
  <c r="AB356" i="10"/>
  <c r="U357" i="10"/>
  <c r="AB377" i="10"/>
  <c r="AC407" i="10"/>
  <c r="AA408" i="10"/>
  <c r="U412" i="10"/>
  <c r="U416" i="10"/>
  <c r="Y419" i="10"/>
  <c r="W440" i="10"/>
  <c r="AB496" i="10"/>
  <c r="W389" i="10"/>
  <c r="AC66" i="10"/>
  <c r="X83" i="10"/>
  <c r="X90" i="10"/>
  <c r="X95" i="10"/>
  <c r="X98" i="10"/>
  <c r="Y179" i="10"/>
  <c r="X211" i="10"/>
  <c r="AC253" i="10"/>
  <c r="Y280" i="10"/>
  <c r="AB301" i="10"/>
  <c r="U303" i="10"/>
  <c r="AA313" i="10"/>
  <c r="U333" i="10"/>
  <c r="Y335" i="10"/>
  <c r="V346" i="10"/>
  <c r="AE406" i="10"/>
  <c r="Y412" i="10"/>
  <c r="AA457" i="10"/>
  <c r="AC199" i="10"/>
  <c r="AE322" i="10"/>
  <c r="Y322" i="10"/>
  <c r="AD325" i="10"/>
  <c r="X325" i="10"/>
  <c r="Y329" i="10"/>
  <c r="AE329" i="10"/>
  <c r="AB376" i="10"/>
  <c r="AA418" i="10"/>
  <c r="U418" i="10"/>
  <c r="AD420" i="10"/>
  <c r="AC433" i="10"/>
  <c r="W433" i="10"/>
  <c r="U463" i="10"/>
  <c r="AA463" i="10"/>
  <c r="V502" i="10"/>
  <c r="AC12" i="10"/>
  <c r="AC17" i="10"/>
  <c r="X58" i="10"/>
  <c r="X61" i="10"/>
  <c r="X99" i="10"/>
  <c r="X106" i="10"/>
  <c r="AC154" i="10"/>
  <c r="U162" i="10"/>
  <c r="AC171" i="10"/>
  <c r="Y176" i="10"/>
  <c r="AD219" i="10"/>
  <c r="X219" i="10"/>
  <c r="U291" i="10"/>
  <c r="AA291" i="10"/>
  <c r="U317" i="10"/>
  <c r="AA317" i="10"/>
  <c r="V337" i="10"/>
  <c r="AB337" i="10"/>
  <c r="Y374" i="10"/>
  <c r="AE374" i="10"/>
  <c r="Y377" i="10"/>
  <c r="AE377" i="10"/>
  <c r="AB384" i="10"/>
  <c r="AC500" i="10"/>
  <c r="W500" i="10"/>
  <c r="AJ504" i="10"/>
  <c r="X504" i="10" s="1"/>
  <c r="U322" i="10"/>
  <c r="AA322" i="10"/>
  <c r="AD324" i="10"/>
  <c r="X324" i="10"/>
  <c r="AB336" i="10"/>
  <c r="V336" i="10"/>
  <c r="AA353" i="10"/>
  <c r="U353" i="10"/>
  <c r="X67" i="10"/>
  <c r="AC74" i="10"/>
  <c r="X75" i="10"/>
  <c r="X82" i="10"/>
  <c r="AC89" i="10"/>
  <c r="X91" i="10"/>
  <c r="Y162" i="10"/>
  <c r="X195" i="10"/>
  <c r="X202" i="10"/>
  <c r="X206" i="10"/>
  <c r="X210" i="10"/>
  <c r="X214" i="10"/>
  <c r="X218" i="10"/>
  <c r="AC244" i="10"/>
  <c r="W244" i="10"/>
  <c r="AD255" i="10"/>
  <c r="X255" i="10"/>
  <c r="AD270" i="10"/>
  <c r="X270" i="10"/>
  <c r="U339" i="10"/>
  <c r="AA339" i="10"/>
  <c r="AE342" i="10"/>
  <c r="Y342" i="10"/>
  <c r="U375" i="10"/>
  <c r="AA375" i="10"/>
  <c r="U380" i="10"/>
  <c r="AA380" i="10"/>
  <c r="AC382" i="10"/>
  <c r="W382" i="10"/>
  <c r="AD407" i="10"/>
  <c r="X407" i="10"/>
  <c r="V412" i="10"/>
  <c r="AB412" i="10"/>
  <c r="AC434" i="10"/>
  <c r="W434" i="10"/>
  <c r="Y463" i="10"/>
  <c r="AK504" i="10"/>
  <c r="AO504" i="10"/>
  <c r="P504" i="10"/>
  <c r="AH504" i="10" s="1"/>
  <c r="R521" i="10"/>
  <c r="R525" i="10" s="1"/>
  <c r="AB189" i="10"/>
  <c r="AA234" i="10"/>
  <c r="U234" i="10"/>
  <c r="AE234" i="10"/>
  <c r="Y234" i="10"/>
  <c r="AA287" i="10"/>
  <c r="U287" i="10"/>
  <c r="AE287" i="10"/>
  <c r="Y287" i="10"/>
  <c r="V294" i="10"/>
  <c r="AB294" i="10"/>
  <c r="X309" i="10"/>
  <c r="AD309" i="10"/>
  <c r="AB321" i="10"/>
  <c r="V321" i="10"/>
  <c r="AA332" i="10"/>
  <c r="U332" i="10"/>
  <c r="AD399" i="10"/>
  <c r="X399" i="10"/>
  <c r="V457" i="10"/>
  <c r="AB457" i="10"/>
  <c r="AC467" i="10"/>
  <c r="W467" i="10"/>
  <c r="AD469" i="10"/>
  <c r="X227" i="10"/>
  <c r="W238" i="10"/>
  <c r="X265" i="10"/>
  <c r="AE268" i="10"/>
  <c r="X275" i="10"/>
  <c r="U279" i="10"/>
  <c r="X293" i="10"/>
  <c r="U356" i="10"/>
  <c r="X411" i="10"/>
  <c r="Y467" i="10"/>
  <c r="AB484" i="10"/>
  <c r="AB488" i="10"/>
  <c r="X258" i="10"/>
  <c r="X262" i="10"/>
  <c r="X274" i="10"/>
  <c r="Y279" i="10"/>
  <c r="AB280" i="10"/>
  <c r="U284" i="10"/>
  <c r="Y296" i="10"/>
  <c r="U304" i="10"/>
  <c r="AA316" i="10"/>
  <c r="AC322" i="10"/>
  <c r="AE328" i="10"/>
  <c r="U344" i="10"/>
  <c r="Y351" i="10"/>
  <c r="Y356" i="10"/>
  <c r="U358" i="10"/>
  <c r="AB373" i="10"/>
  <c r="AB420" i="10"/>
  <c r="Y421" i="10"/>
  <c r="AI504" i="10"/>
  <c r="W504" i="10" s="1"/>
  <c r="W59" i="10"/>
  <c r="AC59" i="10"/>
  <c r="W62" i="10"/>
  <c r="AC62" i="10"/>
  <c r="W71" i="10"/>
  <c r="AC71" i="10"/>
  <c r="W77" i="10"/>
  <c r="AC77" i="10"/>
  <c r="W86" i="10"/>
  <c r="AC86" i="10"/>
  <c r="W58" i="10"/>
  <c r="AC58" i="10"/>
  <c r="W61" i="10"/>
  <c r="AC61" i="10"/>
  <c r="W69" i="10"/>
  <c r="AC69" i="10"/>
  <c r="W84" i="10"/>
  <c r="AC84" i="10"/>
  <c r="W90" i="10"/>
  <c r="AC90" i="10"/>
  <c r="W63" i="10"/>
  <c r="AC63" i="10"/>
  <c r="W67" i="10"/>
  <c r="AC67" i="10"/>
  <c r="W70" i="10"/>
  <c r="AC70" i="10"/>
  <c r="W76" i="10"/>
  <c r="AC76" i="10"/>
  <c r="W78" i="10"/>
  <c r="AC78" i="10"/>
  <c r="W82" i="10"/>
  <c r="AC82" i="10"/>
  <c r="W85" i="10"/>
  <c r="AC85" i="10"/>
  <c r="W94" i="10"/>
  <c r="AC94" i="10"/>
  <c r="AD25" i="10"/>
  <c r="X25" i="10"/>
  <c r="W60" i="10"/>
  <c r="AC60" i="10"/>
  <c r="X64" i="10"/>
  <c r="AC72" i="10"/>
  <c r="AC79" i="10"/>
  <c r="AC87" i="10"/>
  <c r="W93" i="10"/>
  <c r="AC93" i="10"/>
  <c r="W104" i="10"/>
  <c r="AC104" i="10"/>
  <c r="AC106" i="10"/>
  <c r="W109" i="10"/>
  <c r="AC109" i="10"/>
  <c r="W111" i="10"/>
  <c r="AC111" i="10"/>
  <c r="W113" i="10"/>
  <c r="AC113" i="10"/>
  <c r="W116" i="10"/>
  <c r="AC116" i="10"/>
  <c r="W118" i="10"/>
  <c r="AC118" i="10"/>
  <c r="W120" i="10"/>
  <c r="AC120" i="10"/>
  <c r="W122" i="10"/>
  <c r="AC122" i="10"/>
  <c r="W124" i="10"/>
  <c r="AC124" i="10"/>
  <c r="W126" i="10"/>
  <c r="AC126" i="10"/>
  <c r="W128" i="10"/>
  <c r="AC128" i="10"/>
  <c r="W131" i="10"/>
  <c r="AC131" i="10"/>
  <c r="W133" i="10"/>
  <c r="AC133" i="10"/>
  <c r="W135" i="10"/>
  <c r="AC135" i="10"/>
  <c r="W137" i="10"/>
  <c r="AC137" i="10"/>
  <c r="W139" i="10"/>
  <c r="AC139" i="10"/>
  <c r="W142" i="10"/>
  <c r="AC142" i="10"/>
  <c r="W144" i="10"/>
  <c r="AC144" i="10"/>
  <c r="W146" i="10"/>
  <c r="AC146" i="10"/>
  <c r="W148" i="10"/>
  <c r="AC148" i="10"/>
  <c r="W150" i="10"/>
  <c r="AC150" i="10"/>
  <c r="W151" i="10"/>
  <c r="AC151" i="10"/>
  <c r="W153" i="10"/>
  <c r="AC153" i="10"/>
  <c r="W156" i="10"/>
  <c r="AC156" i="10"/>
  <c r="AA166" i="10"/>
  <c r="U166" i="10"/>
  <c r="AE166" i="10"/>
  <c r="Y166" i="10"/>
  <c r="AA180" i="10"/>
  <c r="U180" i="10"/>
  <c r="AE180" i="10"/>
  <c r="Y180" i="10"/>
  <c r="AC184" i="10"/>
  <c r="W184" i="10"/>
  <c r="AC185" i="10"/>
  <c r="W185" i="10"/>
  <c r="AC187" i="10"/>
  <c r="W187" i="10"/>
  <c r="AC189" i="10"/>
  <c r="W189" i="10"/>
  <c r="W230" i="10"/>
  <c r="AC230" i="10"/>
  <c r="W266" i="10"/>
  <c r="AC266" i="10"/>
  <c r="V436" i="10"/>
  <c r="AB436" i="10"/>
  <c r="AB442" i="10"/>
  <c r="B36" i="9"/>
  <c r="B38" i="9" s="1"/>
  <c r="O521" i="10"/>
  <c r="O525" i="10" s="1"/>
  <c r="S521" i="10"/>
  <c r="S525" i="10" s="1"/>
  <c r="AA27" i="10"/>
  <c r="AA30" i="10"/>
  <c r="AA31" i="10"/>
  <c r="AA34" i="10"/>
  <c r="AA37" i="10"/>
  <c r="AA38" i="10"/>
  <c r="AA41" i="10"/>
  <c r="AA42" i="10"/>
  <c r="AD60" i="10"/>
  <c r="U61" i="10"/>
  <c r="X62" i="10"/>
  <c r="AD71" i="10"/>
  <c r="X71" i="10"/>
  <c r="AD78" i="10"/>
  <c r="X78" i="10"/>
  <c r="AD86" i="10"/>
  <c r="X86" i="10"/>
  <c r="W96" i="10"/>
  <c r="AC96" i="10"/>
  <c r="AC98" i="10"/>
  <c r="W101" i="10"/>
  <c r="AC101" i="10"/>
  <c r="AD198" i="10"/>
  <c r="X198" i="10"/>
  <c r="AD199" i="10"/>
  <c r="X199" i="10"/>
  <c r="AD204" i="10"/>
  <c r="X204" i="10"/>
  <c r="AD208" i="10"/>
  <c r="X208" i="10"/>
  <c r="AD212" i="10"/>
  <c r="X212" i="10"/>
  <c r="AD216" i="10"/>
  <c r="X216" i="10"/>
  <c r="W232" i="10"/>
  <c r="AC232" i="10"/>
  <c r="X233" i="10"/>
  <c r="AD233" i="10"/>
  <c r="X282" i="10"/>
  <c r="AD282" i="10"/>
  <c r="AE355" i="10"/>
  <c r="Y355" i="10"/>
  <c r="C36" i="9"/>
  <c r="C38" i="9" s="1"/>
  <c r="AE27" i="10"/>
  <c r="AE30" i="10"/>
  <c r="AE31" i="10"/>
  <c r="AE34" i="10"/>
  <c r="AE37" i="10"/>
  <c r="AE38" i="10"/>
  <c r="AE41" i="10"/>
  <c r="AE42" i="10"/>
  <c r="W92" i="10"/>
  <c r="AC92" i="10"/>
  <c r="W95" i="10"/>
  <c r="AC95" i="10"/>
  <c r="W103" i="10"/>
  <c r="AC103" i="10"/>
  <c r="W105" i="10"/>
  <c r="AC105" i="10"/>
  <c r="W108" i="10"/>
  <c r="AC108" i="10"/>
  <c r="W110" i="10"/>
  <c r="AC110" i="10"/>
  <c r="W112" i="10"/>
  <c r="AC112" i="10"/>
  <c r="W114" i="10"/>
  <c r="AC114" i="10"/>
  <c r="W117" i="10"/>
  <c r="AC117" i="10"/>
  <c r="W119" i="10"/>
  <c r="AC119" i="10"/>
  <c r="W121" i="10"/>
  <c r="AC121" i="10"/>
  <c r="W123" i="10"/>
  <c r="AC123" i="10"/>
  <c r="W125" i="10"/>
  <c r="AC125" i="10"/>
  <c r="W127" i="10"/>
  <c r="AC127" i="10"/>
  <c r="W129" i="10"/>
  <c r="AC129" i="10"/>
  <c r="W130" i="10"/>
  <c r="AC130" i="10"/>
  <c r="W132" i="10"/>
  <c r="AC132" i="10"/>
  <c r="W134" i="10"/>
  <c r="AC134" i="10"/>
  <c r="W136" i="10"/>
  <c r="AC136" i="10"/>
  <c r="W138" i="10"/>
  <c r="AC138" i="10"/>
  <c r="W140" i="10"/>
  <c r="AC140" i="10"/>
  <c r="W143" i="10"/>
  <c r="AC143" i="10"/>
  <c r="W145" i="10"/>
  <c r="AC145" i="10"/>
  <c r="W147" i="10"/>
  <c r="AC147" i="10"/>
  <c r="W149" i="10"/>
  <c r="AC149" i="10"/>
  <c r="W152" i="10"/>
  <c r="AC152" i="10"/>
  <c r="W155" i="10"/>
  <c r="AC155" i="10"/>
  <c r="AC188" i="10"/>
  <c r="W188" i="10"/>
  <c r="W231" i="10"/>
  <c r="AC231" i="10"/>
  <c r="AD232" i="10"/>
  <c r="X232" i="10"/>
  <c r="AD259" i="10"/>
  <c r="X259" i="10"/>
  <c r="AD263" i="10"/>
  <c r="X263" i="10"/>
  <c r="Y319" i="10"/>
  <c r="AE319" i="10"/>
  <c r="AD346" i="10"/>
  <c r="X346" i="10"/>
  <c r="C21" i="6"/>
  <c r="C26" i="6" s="1"/>
  <c r="D36" i="9"/>
  <c r="D38" i="9" s="1"/>
  <c r="U59" i="10"/>
  <c r="W64" i="10"/>
  <c r="AC64" i="10"/>
  <c r="AC65" i="10"/>
  <c r="W68" i="10"/>
  <c r="AC68" i="10"/>
  <c r="X72" i="10"/>
  <c r="AC73" i="10"/>
  <c r="W75" i="10"/>
  <c r="AC75" i="10"/>
  <c r="X79" i="10"/>
  <c r="AC80" i="10"/>
  <c r="W83" i="10"/>
  <c r="AC83" i="10"/>
  <c r="X87" i="10"/>
  <c r="AC88" i="10"/>
  <c r="W97" i="10"/>
  <c r="AC97" i="10"/>
  <c r="W100" i="10"/>
  <c r="AC100" i="10"/>
  <c r="W102" i="10"/>
  <c r="AC102" i="10"/>
  <c r="AD103" i="10"/>
  <c r="X103" i="10"/>
  <c r="U219" i="10"/>
  <c r="AA219" i="10"/>
  <c r="Y219" i="10"/>
  <c r="AE219" i="10"/>
  <c r="AC226" i="10"/>
  <c r="W226" i="10"/>
  <c r="AD268" i="10"/>
  <c r="X268" i="10"/>
  <c r="AD272" i="10"/>
  <c r="X272" i="10"/>
  <c r="AE301" i="10"/>
  <c r="Y301" i="10"/>
  <c r="AC91" i="10"/>
  <c r="X94" i="10"/>
  <c r="AC99" i="10"/>
  <c r="X102" i="10"/>
  <c r="AC107" i="10"/>
  <c r="AD157" i="10"/>
  <c r="W190" i="10"/>
  <c r="W191" i="10"/>
  <c r="AB192" i="10"/>
  <c r="W193" i="10"/>
  <c r="X200" i="10"/>
  <c r="X201" i="10"/>
  <c r="X205" i="10"/>
  <c r="X209" i="10"/>
  <c r="X213" i="10"/>
  <c r="X217" i="10"/>
  <c r="Y226" i="10"/>
  <c r="X228" i="10"/>
  <c r="X231" i="10"/>
  <c r="AB240" i="10"/>
  <c r="W241" i="10"/>
  <c r="W242" i="10"/>
  <c r="W245" i="10"/>
  <c r="W246" i="10"/>
  <c r="AB247" i="10"/>
  <c r="W248" i="10"/>
  <c r="W249" i="10"/>
  <c r="X256" i="10"/>
  <c r="X260" i="10"/>
  <c r="X264" i="10"/>
  <c r="AD269" i="10"/>
  <c r="X269" i="10"/>
  <c r="AE277" i="10"/>
  <c r="Y277" i="10"/>
  <c r="AB292" i="10"/>
  <c r="V292" i="10"/>
  <c r="AA293" i="10"/>
  <c r="U293" i="10"/>
  <c r="X306" i="10"/>
  <c r="AD306" i="10"/>
  <c r="AA308" i="10"/>
  <c r="U308" i="10"/>
  <c r="AE308" i="10"/>
  <c r="Y308" i="10"/>
  <c r="Y315" i="10"/>
  <c r="AE315" i="10"/>
  <c r="AD323" i="10"/>
  <c r="AA329" i="10"/>
  <c r="U329" i="10"/>
  <c r="AD331" i="10"/>
  <c r="AD337" i="10"/>
  <c r="X337" i="10"/>
  <c r="AD348" i="10"/>
  <c r="X348" i="10"/>
  <c r="AD273" i="10"/>
  <c r="X273" i="10"/>
  <c r="AE278" i="10"/>
  <c r="Y278" i="10"/>
  <c r="AE283" i="10"/>
  <c r="Y283" i="10"/>
  <c r="AA297" i="10"/>
  <c r="U297" i="10"/>
  <c r="AE297" i="10"/>
  <c r="Y297" i="10"/>
  <c r="AE300" i="10"/>
  <c r="Y300" i="10"/>
  <c r="Y311" i="10"/>
  <c r="AE311" i="10"/>
  <c r="AD339" i="10"/>
  <c r="X339" i="10"/>
  <c r="AD397" i="10"/>
  <c r="X397" i="10"/>
  <c r="W402" i="10"/>
  <c r="AC402" i="10"/>
  <c r="AD406" i="10"/>
  <c r="X406" i="10"/>
  <c r="AE413" i="10"/>
  <c r="Y413" i="10"/>
  <c r="AD463" i="10"/>
  <c r="X463" i="10"/>
  <c r="U503" i="10"/>
  <c r="AA503" i="10"/>
  <c r="U158" i="10"/>
  <c r="Y161" i="10"/>
  <c r="U172" i="10"/>
  <c r="AB183" i="10"/>
  <c r="AB186" i="10"/>
  <c r="U278" i="10"/>
  <c r="X286" i="10"/>
  <c r="AD286" i="10"/>
  <c r="AA307" i="10"/>
  <c r="U307" i="10"/>
  <c r="AE307" i="10"/>
  <c r="Y307" i="10"/>
  <c r="U321" i="10"/>
  <c r="AA321" i="10"/>
  <c r="AE321" i="10"/>
  <c r="Y321" i="10"/>
  <c r="AD326" i="10"/>
  <c r="X326" i="10"/>
  <c r="AA328" i="10"/>
  <c r="U328" i="10"/>
  <c r="AA330" i="10"/>
  <c r="U330" i="10"/>
  <c r="AD335" i="10"/>
  <c r="X335" i="10"/>
  <c r="V380" i="10"/>
  <c r="AB380" i="10"/>
  <c r="U383" i="10"/>
  <c r="AA383" i="10"/>
  <c r="W386" i="10"/>
  <c r="AC386" i="10"/>
  <c r="Y284" i="10"/>
  <c r="Y291" i="10"/>
  <c r="Y294" i="10"/>
  <c r="Y303" i="10"/>
  <c r="Y304" i="10"/>
  <c r="AE312" i="10"/>
  <c r="AE316" i="10"/>
  <c r="AE320" i="10"/>
  <c r="Y332" i="10"/>
  <c r="X334" i="10"/>
  <c r="X336" i="10"/>
  <c r="AD342" i="10"/>
  <c r="Y343" i="10"/>
  <c r="X345" i="10"/>
  <c r="AD351" i="10"/>
  <c r="Y352" i="10"/>
  <c r="Y357" i="10"/>
  <c r="Y358" i="10"/>
  <c r="AB365" i="10"/>
  <c r="W367" i="10"/>
  <c r="AC371" i="10"/>
  <c r="W371" i="10"/>
  <c r="W373" i="10"/>
  <c r="AC373" i="10"/>
  <c r="U376" i="10"/>
  <c r="AA376" i="10"/>
  <c r="U379" i="10"/>
  <c r="AA379" i="10"/>
  <c r="U384" i="10"/>
  <c r="AA384" i="10"/>
  <c r="AD395" i="10"/>
  <c r="X395" i="10"/>
  <c r="W405" i="10"/>
  <c r="AC405" i="10"/>
  <c r="U407" i="10"/>
  <c r="AA407" i="10"/>
  <c r="Y407" i="10"/>
  <c r="AE407" i="10"/>
  <c r="V433" i="10"/>
  <c r="AB433" i="10"/>
  <c r="V438" i="10"/>
  <c r="AB438" i="10"/>
  <c r="W450" i="10"/>
  <c r="AC450" i="10"/>
  <c r="AA451" i="10"/>
  <c r="U451" i="10"/>
  <c r="AE451" i="10"/>
  <c r="Y451" i="10"/>
  <c r="AE502" i="10"/>
  <c r="Y502" i="10"/>
  <c r="Y503" i="10"/>
  <c r="X301" i="10"/>
  <c r="Y334" i="10"/>
  <c r="Y336" i="10"/>
  <c r="Y345" i="10"/>
  <c r="W363" i="10"/>
  <c r="AC368" i="10"/>
  <c r="W368" i="10"/>
  <c r="U381" i="10"/>
  <c r="AA381" i="10"/>
  <c r="AD401" i="10"/>
  <c r="X401" i="10"/>
  <c r="AA420" i="10"/>
  <c r="U420" i="10"/>
  <c r="AE420" i="10"/>
  <c r="Y420" i="10"/>
  <c r="AB432" i="10"/>
  <c r="V443" i="10"/>
  <c r="AB443" i="10"/>
  <c r="Y497" i="10"/>
  <c r="AE497" i="10"/>
  <c r="AC372" i="10"/>
  <c r="W372" i="10"/>
  <c r="V375" i="10"/>
  <c r="AB375" i="10"/>
  <c r="Y381" i="10"/>
  <c r="AE381" i="10"/>
  <c r="Y383" i="10"/>
  <c r="AE383" i="10"/>
  <c r="AC387" i="10"/>
  <c r="W387" i="10"/>
  <c r="AD404" i="10"/>
  <c r="X404" i="10"/>
  <c r="W423" i="10"/>
  <c r="AC423" i="10"/>
  <c r="W452" i="10"/>
  <c r="AC452" i="10"/>
  <c r="AD457" i="10"/>
  <c r="X457" i="10"/>
  <c r="AD481" i="10"/>
  <c r="AA499" i="10"/>
  <c r="U499" i="10"/>
  <c r="AB501" i="10"/>
  <c r="V501" i="10"/>
  <c r="X398" i="10"/>
  <c r="X410" i="10"/>
  <c r="Y418" i="10"/>
  <c r="W436" i="10"/>
  <c r="AB491" i="10"/>
  <c r="AD493" i="10"/>
  <c r="AB498" i="10"/>
  <c r="AB388" i="10"/>
  <c r="AB487" i="10"/>
  <c r="AD489" i="10"/>
  <c r="AB492" i="10"/>
  <c r="AB495" i="10"/>
  <c r="AB500" i="10"/>
  <c r="AB369" i="10"/>
  <c r="AB370" i="10"/>
  <c r="AB378" i="10"/>
  <c r="AB386" i="10"/>
  <c r="X394" i="10"/>
  <c r="X396" i="10"/>
  <c r="X400" i="10"/>
  <c r="X408" i="10"/>
  <c r="AB414" i="10"/>
  <c r="Y415" i="10"/>
  <c r="Y416" i="10"/>
  <c r="AA479" i="10"/>
  <c r="AB483" i="10"/>
  <c r="AD485" i="10"/>
  <c r="AC501" i="10"/>
  <c r="C13" i="9"/>
  <c r="C15" i="9" s="1"/>
  <c r="C28" i="5"/>
  <c r="C31" i="5" s="1"/>
  <c r="I264" i="1"/>
  <c r="AA19" i="10"/>
  <c r="U19" i="10"/>
  <c r="AD13" i="10"/>
  <c r="X13" i="10"/>
  <c r="W18" i="10"/>
  <c r="AC18" i="10"/>
  <c r="AA21" i="10"/>
  <c r="U21" i="10"/>
  <c r="W22" i="10"/>
  <c r="AC22" i="10"/>
  <c r="W24" i="10"/>
  <c r="AC24" i="10"/>
  <c r="F56" i="3"/>
  <c r="W9" i="10"/>
  <c r="AC9" i="10"/>
  <c r="AA10" i="10"/>
  <c r="U10" i="10"/>
  <c r="AE10" i="10"/>
  <c r="Y10" i="10"/>
  <c r="AA13" i="10"/>
  <c r="U13" i="10"/>
  <c r="AE13" i="10"/>
  <c r="Y13" i="10"/>
  <c r="AA14" i="10"/>
  <c r="U14" i="10"/>
  <c r="AE14" i="10"/>
  <c r="Y14" i="10"/>
  <c r="W15" i="10"/>
  <c r="AC15" i="10"/>
  <c r="AA16" i="10"/>
  <c r="U16" i="10"/>
  <c r="AE16" i="10"/>
  <c r="Y16" i="10"/>
  <c r="AD18" i="10"/>
  <c r="X18" i="10"/>
  <c r="AD20" i="10"/>
  <c r="X20" i="10"/>
  <c r="AD22" i="10"/>
  <c r="X22" i="10"/>
  <c r="AD24" i="10"/>
  <c r="X24" i="10"/>
  <c r="AE19" i="10"/>
  <c r="Y19" i="10"/>
  <c r="AE23" i="10"/>
  <c r="Y23" i="10"/>
  <c r="AD9" i="10"/>
  <c r="X9" i="10"/>
  <c r="AD15" i="10"/>
  <c r="X15" i="10"/>
  <c r="AA18" i="10"/>
  <c r="U18" i="10"/>
  <c r="AE18" i="10"/>
  <c r="Y18" i="10"/>
  <c r="W19" i="10"/>
  <c r="AC19" i="10"/>
  <c r="AA20" i="10"/>
  <c r="U20" i="10"/>
  <c r="AE20" i="10"/>
  <c r="Y20" i="10"/>
  <c r="W21" i="10"/>
  <c r="AC21" i="10"/>
  <c r="AA22" i="10"/>
  <c r="U22" i="10"/>
  <c r="AE22" i="10"/>
  <c r="Y22" i="10"/>
  <c r="W23" i="10"/>
  <c r="AC23" i="10"/>
  <c r="AA24" i="10"/>
  <c r="U24" i="10"/>
  <c r="AE24" i="10"/>
  <c r="Y24" i="10"/>
  <c r="AD10" i="10"/>
  <c r="X10" i="10"/>
  <c r="AD14" i="10"/>
  <c r="X14" i="10"/>
  <c r="AD16" i="10"/>
  <c r="X16" i="10"/>
  <c r="W20" i="10"/>
  <c r="AC20" i="10"/>
  <c r="AE21" i="10"/>
  <c r="Y21" i="10"/>
  <c r="AA23" i="10"/>
  <c r="U23" i="10"/>
  <c r="W25" i="10"/>
  <c r="AC25" i="10"/>
  <c r="AA9" i="10"/>
  <c r="U9" i="10"/>
  <c r="AE9" i="10"/>
  <c r="Y9" i="10"/>
  <c r="W10" i="10"/>
  <c r="AC10" i="10"/>
  <c r="W13" i="10"/>
  <c r="AC13" i="10"/>
  <c r="W14" i="10"/>
  <c r="AC14" i="10"/>
  <c r="AA15" i="10"/>
  <c r="U15" i="10"/>
  <c r="AE15" i="10"/>
  <c r="Y15" i="10"/>
  <c r="W16" i="10"/>
  <c r="AC16" i="10"/>
  <c r="AD19" i="10"/>
  <c r="X19" i="10"/>
  <c r="AD21" i="10"/>
  <c r="X21" i="10"/>
  <c r="AD23" i="10"/>
  <c r="X23" i="10"/>
  <c r="AB25" i="10"/>
  <c r="V25" i="10"/>
  <c r="A3" i="9"/>
  <c r="U25" i="10"/>
  <c r="U26" i="10"/>
  <c r="AC27" i="10"/>
  <c r="W27" i="10"/>
  <c r="V28" i="10"/>
  <c r="X29" i="10"/>
  <c r="AD29" i="10"/>
  <c r="AC31" i="10"/>
  <c r="W31" i="10"/>
  <c r="V32" i="10"/>
  <c r="X33" i="10"/>
  <c r="AD33" i="10"/>
  <c r="AC34" i="10"/>
  <c r="W34" i="10"/>
  <c r="V35" i="10"/>
  <c r="X36" i="10"/>
  <c r="AD36" i="10"/>
  <c r="AC38" i="10"/>
  <c r="W38" i="10"/>
  <c r="X40" i="10"/>
  <c r="AD40" i="10"/>
  <c r="AC42" i="10"/>
  <c r="W42" i="10"/>
  <c r="V43" i="10"/>
  <c r="AB44" i="10"/>
  <c r="V44" i="10"/>
  <c r="AB47" i="10"/>
  <c r="V47" i="10"/>
  <c r="AB49" i="10"/>
  <c r="V49" i="10"/>
  <c r="AB52" i="10"/>
  <c r="V52" i="10"/>
  <c r="AB54" i="10"/>
  <c r="V54" i="10"/>
  <c r="AB56" i="10"/>
  <c r="V56" i="10"/>
  <c r="AB57" i="10"/>
  <c r="V57" i="10"/>
  <c r="V26" i="10"/>
  <c r="AC26" i="10"/>
  <c r="AC28" i="10"/>
  <c r="W28" i="10"/>
  <c r="AA28" i="10"/>
  <c r="V29" i="10"/>
  <c r="X30" i="10"/>
  <c r="AD30" i="10"/>
  <c r="AC32" i="10"/>
  <c r="W32" i="10"/>
  <c r="AA32" i="10"/>
  <c r="V33" i="10"/>
  <c r="AC35" i="10"/>
  <c r="W35" i="10"/>
  <c r="AA35" i="10"/>
  <c r="V36" i="10"/>
  <c r="X37" i="10"/>
  <c r="AD37" i="10"/>
  <c r="V40" i="10"/>
  <c r="X41" i="10"/>
  <c r="AD41" i="10"/>
  <c r="AC43" i="10"/>
  <c r="W43" i="10"/>
  <c r="AA43" i="10"/>
  <c r="AC44" i="10"/>
  <c r="W44" i="10"/>
  <c r="AA45" i="10"/>
  <c r="U45" i="10"/>
  <c r="AE45" i="10"/>
  <c r="Y45" i="10"/>
  <c r="AA46" i="10"/>
  <c r="U46" i="10"/>
  <c r="AE46" i="10"/>
  <c r="Y46" i="10"/>
  <c r="AC47" i="10"/>
  <c r="W47" i="10"/>
  <c r="AA48" i="10"/>
  <c r="U48" i="10"/>
  <c r="AE48" i="10"/>
  <c r="Y48" i="10"/>
  <c r="AC49" i="10"/>
  <c r="W49" i="10"/>
  <c r="AA50" i="10"/>
  <c r="U50" i="10"/>
  <c r="AE50" i="10"/>
  <c r="Y50" i="10"/>
  <c r="AA51" i="10"/>
  <c r="U51" i="10"/>
  <c r="AE51" i="10"/>
  <c r="Y51" i="10"/>
  <c r="AC52" i="10"/>
  <c r="W52" i="10"/>
  <c r="AA53" i="10"/>
  <c r="U53" i="10"/>
  <c r="AE53" i="10"/>
  <c r="Y53" i="10"/>
  <c r="AC54" i="10"/>
  <c r="W54" i="10"/>
  <c r="AA55" i="10"/>
  <c r="U55" i="10"/>
  <c r="AE55" i="10"/>
  <c r="Y55" i="10"/>
  <c r="AC56" i="10"/>
  <c r="W56" i="10"/>
  <c r="AC57" i="10"/>
  <c r="W57" i="10"/>
  <c r="AB62" i="10"/>
  <c r="V62" i="10"/>
  <c r="V9" i="10"/>
  <c r="V10" i="10"/>
  <c r="V13" i="10"/>
  <c r="V14" i="10"/>
  <c r="V15" i="10"/>
  <c r="V16" i="10"/>
  <c r="V18" i="10"/>
  <c r="V19" i="10"/>
  <c r="V20" i="10"/>
  <c r="V21" i="10"/>
  <c r="V22" i="10"/>
  <c r="V23" i="10"/>
  <c r="V24" i="10"/>
  <c r="X26" i="10"/>
  <c r="X27" i="10"/>
  <c r="AD27" i="10"/>
  <c r="AE28" i="10"/>
  <c r="AC29" i="10"/>
  <c r="W29" i="10"/>
  <c r="AA29" i="10"/>
  <c r="V30" i="10"/>
  <c r="X31" i="10"/>
  <c r="AD31" i="10"/>
  <c r="AE32" i="10"/>
  <c r="AC33" i="10"/>
  <c r="W33" i="10"/>
  <c r="AA33" i="10"/>
  <c r="X34" i="10"/>
  <c r="AD34" i="10"/>
  <c r="AE35" i="10"/>
  <c r="AC36" i="10"/>
  <c r="W36" i="10"/>
  <c r="AA36" i="10"/>
  <c r="V37" i="10"/>
  <c r="X38" i="10"/>
  <c r="AD38" i="10"/>
  <c r="AC40" i="10"/>
  <c r="W40" i="10"/>
  <c r="AA40" i="10"/>
  <c r="V41" i="10"/>
  <c r="X42" i="10"/>
  <c r="AD42" i="10"/>
  <c r="AB45" i="10"/>
  <c r="V45" i="10"/>
  <c r="AB46" i="10"/>
  <c r="V46" i="10"/>
  <c r="AB48" i="10"/>
  <c r="V48" i="10"/>
  <c r="AB50" i="10"/>
  <c r="V50" i="10"/>
  <c r="AB51" i="10"/>
  <c r="V51" i="10"/>
  <c r="AB53" i="10"/>
  <c r="V53" i="10"/>
  <c r="AB55" i="10"/>
  <c r="V55" i="10"/>
  <c r="A3" i="14"/>
  <c r="A3" i="15"/>
  <c r="A4" i="10"/>
  <c r="Y25" i="10"/>
  <c r="Y26" i="10"/>
  <c r="V27" i="10"/>
  <c r="X28" i="10"/>
  <c r="AD28" i="10"/>
  <c r="AE29" i="10"/>
  <c r="AC30" i="10"/>
  <c r="W30" i="10"/>
  <c r="V31" i="10"/>
  <c r="X32" i="10"/>
  <c r="AD32" i="10"/>
  <c r="AE33" i="10"/>
  <c r="V34" i="10"/>
  <c r="X35" i="10"/>
  <c r="AD35" i="10"/>
  <c r="AE36" i="10"/>
  <c r="AC37" i="10"/>
  <c r="W37" i="10"/>
  <c r="V38" i="10"/>
  <c r="AE40" i="10"/>
  <c r="AC41" i="10"/>
  <c r="W41" i="10"/>
  <c r="V42" i="10"/>
  <c r="AE43" i="10"/>
  <c r="Y43" i="10"/>
  <c r="AA44" i="10"/>
  <c r="U44" i="10"/>
  <c r="AE44" i="10"/>
  <c r="Y44" i="10"/>
  <c r="AC45" i="10"/>
  <c r="W45" i="10"/>
  <c r="AC46" i="10"/>
  <c r="W46" i="10"/>
  <c r="AA47" i="10"/>
  <c r="U47" i="10"/>
  <c r="AE47" i="10"/>
  <c r="Y47" i="10"/>
  <c r="AC48" i="10"/>
  <c r="W48" i="10"/>
  <c r="AA49" i="10"/>
  <c r="U49" i="10"/>
  <c r="AE49" i="10"/>
  <c r="Y49" i="10"/>
  <c r="AC50" i="10"/>
  <c r="W50" i="10"/>
  <c r="AC51" i="10"/>
  <c r="W51" i="10"/>
  <c r="AA52" i="10"/>
  <c r="U52" i="10"/>
  <c r="AE52" i="10"/>
  <c r="Y52" i="10"/>
  <c r="AC53" i="10"/>
  <c r="W53" i="10"/>
  <c r="AA54" i="10"/>
  <c r="U54" i="10"/>
  <c r="AE54" i="10"/>
  <c r="Y54" i="10"/>
  <c r="AC55" i="10"/>
  <c r="W55" i="10"/>
  <c r="AA56" i="10"/>
  <c r="U56" i="10"/>
  <c r="AE56" i="10"/>
  <c r="Y56" i="10"/>
  <c r="AA57" i="10"/>
  <c r="U57" i="10"/>
  <c r="AE57" i="10"/>
  <c r="Y57" i="10"/>
  <c r="AD43" i="10"/>
  <c r="AD44" i="10"/>
  <c r="AD45" i="10"/>
  <c r="AD46" i="10"/>
  <c r="AD47" i="10"/>
  <c r="AD48" i="10"/>
  <c r="AD49" i="10"/>
  <c r="AD50" i="10"/>
  <c r="AD51" i="10"/>
  <c r="AD52" i="10"/>
  <c r="AD53" i="10"/>
  <c r="AD54" i="10"/>
  <c r="AD55" i="10"/>
  <c r="AD56" i="10"/>
  <c r="AD57" i="10"/>
  <c r="U58" i="10"/>
  <c r="AB64" i="10"/>
  <c r="V64" i="10"/>
  <c r="AB65" i="10"/>
  <c r="V65" i="10"/>
  <c r="AA68" i="10"/>
  <c r="U68" i="10"/>
  <c r="AE68" i="10"/>
  <c r="Y68" i="10"/>
  <c r="AB69" i="10"/>
  <c r="V69" i="10"/>
  <c r="AA72" i="10"/>
  <c r="U72" i="10"/>
  <c r="AE72" i="10"/>
  <c r="Y72" i="10"/>
  <c r="AB73" i="10"/>
  <c r="V73" i="10"/>
  <c r="AA75" i="10"/>
  <c r="U75" i="10"/>
  <c r="AE75" i="10"/>
  <c r="Y75" i="10"/>
  <c r="AB76" i="10"/>
  <c r="V76" i="10"/>
  <c r="AA79" i="10"/>
  <c r="U79" i="10"/>
  <c r="AE79" i="10"/>
  <c r="Y79" i="10"/>
  <c r="AB80" i="10"/>
  <c r="V80" i="10"/>
  <c r="AA83" i="10"/>
  <c r="U83" i="10"/>
  <c r="AE83" i="10"/>
  <c r="Y83" i="10"/>
  <c r="AB84" i="10"/>
  <c r="V84" i="10"/>
  <c r="AA87" i="10"/>
  <c r="U87" i="10"/>
  <c r="AE87" i="10"/>
  <c r="Y87" i="10"/>
  <c r="AB88" i="10"/>
  <c r="V88" i="10"/>
  <c r="AA91" i="10"/>
  <c r="U91" i="10"/>
  <c r="AE91" i="10"/>
  <c r="Y91" i="10"/>
  <c r="AB92" i="10"/>
  <c r="V92" i="10"/>
  <c r="AA95" i="10"/>
  <c r="U95" i="10"/>
  <c r="AE95" i="10"/>
  <c r="Y95" i="10"/>
  <c r="AB96" i="10"/>
  <c r="V96" i="10"/>
  <c r="AA99" i="10"/>
  <c r="U99" i="10"/>
  <c r="AE99" i="10"/>
  <c r="Y99" i="10"/>
  <c r="AB100" i="10"/>
  <c r="V100" i="10"/>
  <c r="AA103" i="10"/>
  <c r="U103" i="10"/>
  <c r="AE103" i="10"/>
  <c r="Y103" i="10"/>
  <c r="AB104" i="10"/>
  <c r="V104" i="10"/>
  <c r="AA107" i="10"/>
  <c r="U107" i="10"/>
  <c r="AE107" i="10"/>
  <c r="Y107" i="10"/>
  <c r="AD108" i="10"/>
  <c r="X108" i="10"/>
  <c r="AD109" i="10"/>
  <c r="X109" i="10"/>
  <c r="AD110" i="10"/>
  <c r="X110" i="10"/>
  <c r="AD111" i="10"/>
  <c r="X111" i="10"/>
  <c r="AD112" i="10"/>
  <c r="X112" i="10"/>
  <c r="AD113" i="10"/>
  <c r="X113" i="10"/>
  <c r="AD114" i="10"/>
  <c r="X114" i="10"/>
  <c r="AD116" i="10"/>
  <c r="X116" i="10"/>
  <c r="AD117" i="10"/>
  <c r="X117" i="10"/>
  <c r="AD118" i="10"/>
  <c r="X118" i="10"/>
  <c r="AD119" i="10"/>
  <c r="X119" i="10"/>
  <c r="AD120" i="10"/>
  <c r="X120" i="10"/>
  <c r="AD121" i="10"/>
  <c r="X121" i="10"/>
  <c r="AD122" i="10"/>
  <c r="X122" i="10"/>
  <c r="AD123" i="10"/>
  <c r="X123" i="10"/>
  <c r="AD124" i="10"/>
  <c r="X124" i="10"/>
  <c r="AD125" i="10"/>
  <c r="X125" i="10"/>
  <c r="AD126" i="10"/>
  <c r="X126" i="10"/>
  <c r="AD127" i="10"/>
  <c r="X127" i="10"/>
  <c r="AD128" i="10"/>
  <c r="X128" i="10"/>
  <c r="AD129" i="10"/>
  <c r="X129" i="10"/>
  <c r="AD130" i="10"/>
  <c r="X130" i="10"/>
  <c r="AD131" i="10"/>
  <c r="X131" i="10"/>
  <c r="AD132" i="10"/>
  <c r="X132" i="10"/>
  <c r="AD133" i="10"/>
  <c r="X133" i="10"/>
  <c r="AD134" i="10"/>
  <c r="X134" i="10"/>
  <c r="AD135" i="10"/>
  <c r="X135" i="10"/>
  <c r="AD136" i="10"/>
  <c r="X136" i="10"/>
  <c r="AD137" i="10"/>
  <c r="X137" i="10"/>
  <c r="AD138" i="10"/>
  <c r="X138" i="10"/>
  <c r="AD139" i="10"/>
  <c r="X139" i="10"/>
  <c r="AD140" i="10"/>
  <c r="X140" i="10"/>
  <c r="AD142" i="10"/>
  <c r="X142" i="10"/>
  <c r="AD143" i="10"/>
  <c r="X143" i="10"/>
  <c r="AD144" i="10"/>
  <c r="X144" i="10"/>
  <c r="AD145" i="10"/>
  <c r="X145" i="10"/>
  <c r="AD146" i="10"/>
  <c r="X146" i="10"/>
  <c r="AD147" i="10"/>
  <c r="X147" i="10"/>
  <c r="AD148" i="10"/>
  <c r="X148" i="10"/>
  <c r="AD149" i="10"/>
  <c r="X149" i="10"/>
  <c r="AD150" i="10"/>
  <c r="X150" i="10"/>
  <c r="AD151" i="10"/>
  <c r="X151" i="10"/>
  <c r="AD152" i="10"/>
  <c r="X152" i="10"/>
  <c r="AD153" i="10"/>
  <c r="X153" i="10"/>
  <c r="AD155" i="10"/>
  <c r="X155" i="10"/>
  <c r="AD156" i="10"/>
  <c r="X156" i="10"/>
  <c r="AB58" i="10"/>
  <c r="V58" i="10"/>
  <c r="AB59" i="10"/>
  <c r="V59" i="10"/>
  <c r="AB60" i="10"/>
  <c r="V60" i="10"/>
  <c r="AB61" i="10"/>
  <c r="V61" i="10"/>
  <c r="AB63" i="10"/>
  <c r="V63" i="10"/>
  <c r="AA65" i="10"/>
  <c r="U65" i="10"/>
  <c r="AE65" i="10"/>
  <c r="Y65" i="10"/>
  <c r="AB66" i="10"/>
  <c r="V66" i="10"/>
  <c r="AA69" i="10"/>
  <c r="U69" i="10"/>
  <c r="AE69" i="10"/>
  <c r="Y69" i="10"/>
  <c r="AB70" i="10"/>
  <c r="V70" i="10"/>
  <c r="AA73" i="10"/>
  <c r="U73" i="10"/>
  <c r="AE73" i="10"/>
  <c r="Y73" i="10"/>
  <c r="AB74" i="10"/>
  <c r="V74" i="10"/>
  <c r="AA76" i="10"/>
  <c r="U76" i="10"/>
  <c r="AE76" i="10"/>
  <c r="Y76" i="10"/>
  <c r="AB77" i="10"/>
  <c r="V77" i="10"/>
  <c r="AA80" i="10"/>
  <c r="U80" i="10"/>
  <c r="AE80" i="10"/>
  <c r="Y80" i="10"/>
  <c r="AB81" i="10"/>
  <c r="V81" i="10"/>
  <c r="AA84" i="10"/>
  <c r="U84" i="10"/>
  <c r="AE84" i="10"/>
  <c r="Y84" i="10"/>
  <c r="AB85" i="10"/>
  <c r="V85" i="10"/>
  <c r="AA88" i="10"/>
  <c r="U88" i="10"/>
  <c r="AE88" i="10"/>
  <c r="Y88" i="10"/>
  <c r="AB89" i="10"/>
  <c r="V89" i="10"/>
  <c r="AA92" i="10"/>
  <c r="U92" i="10"/>
  <c r="AE92" i="10"/>
  <c r="Y92" i="10"/>
  <c r="AB93" i="10"/>
  <c r="V93" i="10"/>
  <c r="AA96" i="10"/>
  <c r="U96" i="10"/>
  <c r="AE96" i="10"/>
  <c r="Y96" i="10"/>
  <c r="AB97" i="10"/>
  <c r="V97" i="10"/>
  <c r="AA100" i="10"/>
  <c r="U100" i="10"/>
  <c r="AE100" i="10"/>
  <c r="Y100" i="10"/>
  <c r="AB101" i="10"/>
  <c r="V101" i="10"/>
  <c r="AA104" i="10"/>
  <c r="U104" i="10"/>
  <c r="AE104" i="10"/>
  <c r="Y104" i="10"/>
  <c r="AB105" i="10"/>
  <c r="V105" i="10"/>
  <c r="AA108" i="10"/>
  <c r="U108" i="10"/>
  <c r="AE108" i="10"/>
  <c r="Y108" i="10"/>
  <c r="AA109" i="10"/>
  <c r="U109" i="10"/>
  <c r="AE109" i="10"/>
  <c r="Y109" i="10"/>
  <c r="AA110" i="10"/>
  <c r="U110" i="10"/>
  <c r="AE110" i="10"/>
  <c r="Y110" i="10"/>
  <c r="AA111" i="10"/>
  <c r="U111" i="10"/>
  <c r="AE111" i="10"/>
  <c r="Y111" i="10"/>
  <c r="AA112" i="10"/>
  <c r="U112" i="10"/>
  <c r="AE112" i="10"/>
  <c r="Y112" i="10"/>
  <c r="AA113" i="10"/>
  <c r="U113" i="10"/>
  <c r="AE113" i="10"/>
  <c r="Y113" i="10"/>
  <c r="AA114" i="10"/>
  <c r="U114" i="10"/>
  <c r="AE114" i="10"/>
  <c r="Y114" i="10"/>
  <c r="AA116" i="10"/>
  <c r="U116" i="10"/>
  <c r="AE116" i="10"/>
  <c r="Y116" i="10"/>
  <c r="AA117" i="10"/>
  <c r="U117" i="10"/>
  <c r="AE117" i="10"/>
  <c r="Y117" i="10"/>
  <c r="AA118" i="10"/>
  <c r="U118" i="10"/>
  <c r="AE118" i="10"/>
  <c r="Y118" i="10"/>
  <c r="AA119" i="10"/>
  <c r="U119" i="10"/>
  <c r="AE119" i="10"/>
  <c r="Y119" i="10"/>
  <c r="AA120" i="10"/>
  <c r="U120" i="10"/>
  <c r="AE120" i="10"/>
  <c r="Y120" i="10"/>
  <c r="AA121" i="10"/>
  <c r="U121" i="10"/>
  <c r="AE121" i="10"/>
  <c r="Y121" i="10"/>
  <c r="AA122" i="10"/>
  <c r="U122" i="10"/>
  <c r="AE122" i="10"/>
  <c r="Y122" i="10"/>
  <c r="AA123" i="10"/>
  <c r="U123" i="10"/>
  <c r="AE123" i="10"/>
  <c r="Y123" i="10"/>
  <c r="AA124" i="10"/>
  <c r="U124" i="10"/>
  <c r="AE124" i="10"/>
  <c r="Y124" i="10"/>
  <c r="AA125" i="10"/>
  <c r="U125" i="10"/>
  <c r="AE125" i="10"/>
  <c r="Y125" i="10"/>
  <c r="AA126" i="10"/>
  <c r="U126" i="10"/>
  <c r="AE126" i="10"/>
  <c r="Y126" i="10"/>
  <c r="AA127" i="10"/>
  <c r="U127" i="10"/>
  <c r="AE127" i="10"/>
  <c r="Y127" i="10"/>
  <c r="AA128" i="10"/>
  <c r="U128" i="10"/>
  <c r="AE128" i="10"/>
  <c r="Y128" i="10"/>
  <c r="AA129" i="10"/>
  <c r="U129" i="10"/>
  <c r="AE129" i="10"/>
  <c r="Y129" i="10"/>
  <c r="AA130" i="10"/>
  <c r="U130" i="10"/>
  <c r="AE130" i="10"/>
  <c r="Y130" i="10"/>
  <c r="AA131" i="10"/>
  <c r="U131" i="10"/>
  <c r="AE131" i="10"/>
  <c r="Y131" i="10"/>
  <c r="AA132" i="10"/>
  <c r="U132" i="10"/>
  <c r="AE132" i="10"/>
  <c r="Y132" i="10"/>
  <c r="AA133" i="10"/>
  <c r="U133" i="10"/>
  <c r="AE133" i="10"/>
  <c r="Y133" i="10"/>
  <c r="AA134" i="10"/>
  <c r="U134" i="10"/>
  <c r="AE134" i="10"/>
  <c r="Y134" i="10"/>
  <c r="AA135" i="10"/>
  <c r="U135" i="10"/>
  <c r="AE135" i="10"/>
  <c r="Y135" i="10"/>
  <c r="AA136" i="10"/>
  <c r="U136" i="10"/>
  <c r="AE136" i="10"/>
  <c r="Y136" i="10"/>
  <c r="AA137" i="10"/>
  <c r="U137" i="10"/>
  <c r="AE137" i="10"/>
  <c r="Y137" i="10"/>
  <c r="AA138" i="10"/>
  <c r="U138" i="10"/>
  <c r="AE138" i="10"/>
  <c r="Y138" i="10"/>
  <c r="AA139" i="10"/>
  <c r="U139" i="10"/>
  <c r="AE139" i="10"/>
  <c r="Y139" i="10"/>
  <c r="AA140" i="10"/>
  <c r="U140" i="10"/>
  <c r="AE140" i="10"/>
  <c r="Y140" i="10"/>
  <c r="AA142" i="10"/>
  <c r="U142" i="10"/>
  <c r="AE142" i="10"/>
  <c r="Y142" i="10"/>
  <c r="AA143" i="10"/>
  <c r="U143" i="10"/>
  <c r="AE143" i="10"/>
  <c r="Y143" i="10"/>
  <c r="AA144" i="10"/>
  <c r="U144" i="10"/>
  <c r="AE144" i="10"/>
  <c r="Y144" i="10"/>
  <c r="AA145" i="10"/>
  <c r="U145" i="10"/>
  <c r="AE145" i="10"/>
  <c r="Y145" i="10"/>
  <c r="AA146" i="10"/>
  <c r="U146" i="10"/>
  <c r="AE146" i="10"/>
  <c r="Y146" i="10"/>
  <c r="AA147" i="10"/>
  <c r="U147" i="10"/>
  <c r="AE147" i="10"/>
  <c r="Y147" i="10"/>
  <c r="AA148" i="10"/>
  <c r="U148" i="10"/>
  <c r="AE148" i="10"/>
  <c r="Y148" i="10"/>
  <c r="AA149" i="10"/>
  <c r="U149" i="10"/>
  <c r="AE149" i="10"/>
  <c r="Y149" i="10"/>
  <c r="AA150" i="10"/>
  <c r="U150" i="10"/>
  <c r="AE150" i="10"/>
  <c r="Y150" i="10"/>
  <c r="AA151" i="10"/>
  <c r="U151" i="10"/>
  <c r="AE151" i="10"/>
  <c r="Y151" i="10"/>
  <c r="AA152" i="10"/>
  <c r="U152" i="10"/>
  <c r="AE152" i="10"/>
  <c r="Y152" i="10"/>
  <c r="AA153" i="10"/>
  <c r="U153" i="10"/>
  <c r="AE153" i="10"/>
  <c r="Y153" i="10"/>
  <c r="AA155" i="10"/>
  <c r="U155" i="10"/>
  <c r="AE155" i="10"/>
  <c r="Y155" i="10"/>
  <c r="AA156" i="10"/>
  <c r="U156" i="10"/>
  <c r="AE156" i="10"/>
  <c r="Y156" i="10"/>
  <c r="Y58" i="10"/>
  <c r="Y59" i="10"/>
  <c r="Y60" i="10"/>
  <c r="Y61" i="10"/>
  <c r="Y62" i="10"/>
  <c r="AA63" i="10"/>
  <c r="U63" i="10"/>
  <c r="AE63" i="10"/>
  <c r="Y63" i="10"/>
  <c r="X65" i="10"/>
  <c r="AA66" i="10"/>
  <c r="U66" i="10"/>
  <c r="AE66" i="10"/>
  <c r="Y66" i="10"/>
  <c r="AB67" i="10"/>
  <c r="V67" i="10"/>
  <c r="X69" i="10"/>
  <c r="AA70" i="10"/>
  <c r="U70" i="10"/>
  <c r="AE70" i="10"/>
  <c r="Y70" i="10"/>
  <c r="AB71" i="10"/>
  <c r="V71" i="10"/>
  <c r="X73" i="10"/>
  <c r="AA74" i="10"/>
  <c r="U74" i="10"/>
  <c r="AE74" i="10"/>
  <c r="Y74" i="10"/>
  <c r="X76" i="10"/>
  <c r="AA77" i="10"/>
  <c r="U77" i="10"/>
  <c r="AE77" i="10"/>
  <c r="Y77" i="10"/>
  <c r="AB78" i="10"/>
  <c r="V78" i="10"/>
  <c r="X80" i="10"/>
  <c r="AA81" i="10"/>
  <c r="U81" i="10"/>
  <c r="AE81" i="10"/>
  <c r="Y81" i="10"/>
  <c r="AB82" i="10"/>
  <c r="V82" i="10"/>
  <c r="X84" i="10"/>
  <c r="AA85" i="10"/>
  <c r="U85" i="10"/>
  <c r="AE85" i="10"/>
  <c r="Y85" i="10"/>
  <c r="AB86" i="10"/>
  <c r="V86" i="10"/>
  <c r="X88" i="10"/>
  <c r="AA89" i="10"/>
  <c r="U89" i="10"/>
  <c r="AE89" i="10"/>
  <c r="Y89" i="10"/>
  <c r="AB90" i="10"/>
  <c r="V90" i="10"/>
  <c r="X92" i="10"/>
  <c r="AA93" i="10"/>
  <c r="U93" i="10"/>
  <c r="AE93" i="10"/>
  <c r="Y93" i="10"/>
  <c r="AB94" i="10"/>
  <c r="V94" i="10"/>
  <c r="X96" i="10"/>
  <c r="AA97" i="10"/>
  <c r="U97" i="10"/>
  <c r="AE97" i="10"/>
  <c r="Y97" i="10"/>
  <c r="AB98" i="10"/>
  <c r="V98" i="10"/>
  <c r="X100" i="10"/>
  <c r="AA101" i="10"/>
  <c r="U101" i="10"/>
  <c r="AE101" i="10"/>
  <c r="Y101" i="10"/>
  <c r="AB102" i="10"/>
  <c r="V102" i="10"/>
  <c r="X104" i="10"/>
  <c r="AA105" i="10"/>
  <c r="U105" i="10"/>
  <c r="AE105" i="10"/>
  <c r="Y105" i="10"/>
  <c r="AB106" i="10"/>
  <c r="V106" i="10"/>
  <c r="X63" i="10"/>
  <c r="X66" i="10"/>
  <c r="AA67" i="10"/>
  <c r="U67" i="10"/>
  <c r="AE67" i="10"/>
  <c r="Y67" i="10"/>
  <c r="AB68" i="10"/>
  <c r="V68" i="10"/>
  <c r="X70" i="10"/>
  <c r="AA71" i="10"/>
  <c r="U71" i="10"/>
  <c r="AE71" i="10"/>
  <c r="Y71" i="10"/>
  <c r="AB72" i="10"/>
  <c r="V72" i="10"/>
  <c r="X74" i="10"/>
  <c r="AB75" i="10"/>
  <c r="V75" i="10"/>
  <c r="X77" i="10"/>
  <c r="AA78" i="10"/>
  <c r="U78" i="10"/>
  <c r="AE78" i="10"/>
  <c r="Y78" i="10"/>
  <c r="AB79" i="10"/>
  <c r="V79" i="10"/>
  <c r="X81" i="10"/>
  <c r="AA82" i="10"/>
  <c r="U82" i="10"/>
  <c r="AE82" i="10"/>
  <c r="Y82" i="10"/>
  <c r="AB83" i="10"/>
  <c r="V83" i="10"/>
  <c r="X85" i="10"/>
  <c r="AA86" i="10"/>
  <c r="U86" i="10"/>
  <c r="AE86" i="10"/>
  <c r="Y86" i="10"/>
  <c r="AB87" i="10"/>
  <c r="V87" i="10"/>
  <c r="X89" i="10"/>
  <c r="AA90" i="10"/>
  <c r="U90" i="10"/>
  <c r="AE90" i="10"/>
  <c r="Y90" i="10"/>
  <c r="AB91" i="10"/>
  <c r="V91" i="10"/>
  <c r="X93" i="10"/>
  <c r="AA94" i="10"/>
  <c r="U94" i="10"/>
  <c r="AE94" i="10"/>
  <c r="Y94" i="10"/>
  <c r="AB95" i="10"/>
  <c r="V95" i="10"/>
  <c r="X97" i="10"/>
  <c r="AA98" i="10"/>
  <c r="U98" i="10"/>
  <c r="AE98" i="10"/>
  <c r="Y98" i="10"/>
  <c r="AB99" i="10"/>
  <c r="V99" i="10"/>
  <c r="X101" i="10"/>
  <c r="AA102" i="10"/>
  <c r="U102" i="10"/>
  <c r="AE102" i="10"/>
  <c r="Y102" i="10"/>
  <c r="AB103" i="10"/>
  <c r="V103" i="10"/>
  <c r="X105" i="10"/>
  <c r="AA106" i="10"/>
  <c r="U106" i="10"/>
  <c r="AE106" i="10"/>
  <c r="Y106" i="10"/>
  <c r="AB107" i="10"/>
  <c r="V107" i="10"/>
  <c r="AC157" i="10"/>
  <c r="W157" i="10"/>
  <c r="Y157" i="10"/>
  <c r="AB158" i="10"/>
  <c r="V158" i="10"/>
  <c r="AC159" i="10"/>
  <c r="W159" i="10"/>
  <c r="AD160" i="10"/>
  <c r="AB162" i="10"/>
  <c r="V162" i="10"/>
  <c r="AC163" i="10"/>
  <c r="W163" i="10"/>
  <c r="AD164" i="10"/>
  <c r="AB166" i="10"/>
  <c r="V166" i="10"/>
  <c r="AC167" i="10"/>
  <c r="W167" i="10"/>
  <c r="AC168" i="10"/>
  <c r="W168" i="10"/>
  <c r="AD169" i="10"/>
  <c r="AB172" i="10"/>
  <c r="V172" i="10"/>
  <c r="AC173" i="10"/>
  <c r="W173" i="10"/>
  <c r="AD174" i="10"/>
  <c r="AB176" i="10"/>
  <c r="V176" i="10"/>
  <c r="AC177" i="10"/>
  <c r="W177" i="10"/>
  <c r="AD178" i="10"/>
  <c r="AB180" i="10"/>
  <c r="V180" i="10"/>
  <c r="AD185" i="10"/>
  <c r="X185" i="10"/>
  <c r="AA185" i="10"/>
  <c r="U185" i="10"/>
  <c r="AE188" i="10"/>
  <c r="Y188" i="10"/>
  <c r="AD189" i="10"/>
  <c r="X189" i="10"/>
  <c r="AA189" i="10"/>
  <c r="U189" i="10"/>
  <c r="AE191" i="10"/>
  <c r="Y191" i="10"/>
  <c r="AC220" i="10"/>
  <c r="AC221" i="10"/>
  <c r="AC222" i="10"/>
  <c r="AC223" i="10"/>
  <c r="AC224" i="10"/>
  <c r="AC225" i="10"/>
  <c r="AB226" i="10"/>
  <c r="V226" i="10"/>
  <c r="AA227" i="10"/>
  <c r="U227" i="10"/>
  <c r="AE227" i="10"/>
  <c r="Y227" i="10"/>
  <c r="AC229" i="10"/>
  <c r="AA232" i="10"/>
  <c r="U232" i="10"/>
  <c r="AE232" i="10"/>
  <c r="Y232" i="10"/>
  <c r="AC233" i="10"/>
  <c r="W233" i="10"/>
  <c r="AE242" i="10"/>
  <c r="Y242" i="10"/>
  <c r="AD243" i="10"/>
  <c r="X243" i="10"/>
  <c r="AE246" i="10"/>
  <c r="Y246" i="10"/>
  <c r="AD247" i="10"/>
  <c r="X247" i="10"/>
  <c r="AE249" i="10"/>
  <c r="Y249" i="10"/>
  <c r="AA258" i="10"/>
  <c r="U258" i="10"/>
  <c r="AE258" i="10"/>
  <c r="Y258" i="10"/>
  <c r="AA262" i="10"/>
  <c r="U262" i="10"/>
  <c r="AE262" i="10"/>
  <c r="Y262" i="10"/>
  <c r="AD267" i="10"/>
  <c r="X267" i="10"/>
  <c r="AA281" i="10"/>
  <c r="U281" i="10"/>
  <c r="AE281" i="10"/>
  <c r="Y281" i="10"/>
  <c r="AA285" i="10"/>
  <c r="U285" i="10"/>
  <c r="AE285" i="10"/>
  <c r="Y285" i="10"/>
  <c r="AC288" i="10"/>
  <c r="W288" i="10"/>
  <c r="AC293" i="10"/>
  <c r="W293" i="10"/>
  <c r="AB297" i="10"/>
  <c r="V297" i="10"/>
  <c r="AC298" i="10"/>
  <c r="W298" i="10"/>
  <c r="AA305" i="10"/>
  <c r="U305" i="10"/>
  <c r="AE305" i="10"/>
  <c r="Y305" i="10"/>
  <c r="U314" i="10"/>
  <c r="AA314" i="10"/>
  <c r="Y314" i="10"/>
  <c r="AE314" i="10"/>
  <c r="AC320" i="10"/>
  <c r="W320" i="10"/>
  <c r="AB324" i="10"/>
  <c r="V324" i="10"/>
  <c r="AC325" i="10"/>
  <c r="AA326" i="10"/>
  <c r="U326" i="10"/>
  <c r="AE326" i="10"/>
  <c r="Y326" i="10"/>
  <c r="AB333" i="10"/>
  <c r="V333" i="10"/>
  <c r="AB344" i="10"/>
  <c r="V344" i="10"/>
  <c r="AB353" i="10"/>
  <c r="V353" i="10"/>
  <c r="X422" i="10"/>
  <c r="AD422" i="10"/>
  <c r="X424" i="10"/>
  <c r="AD424" i="10"/>
  <c r="AC425" i="10"/>
  <c r="W425" i="10"/>
  <c r="AB426" i="10"/>
  <c r="V426" i="10"/>
  <c r="AA427" i="10"/>
  <c r="U427" i="10"/>
  <c r="AE427" i="10"/>
  <c r="Y427" i="10"/>
  <c r="U157" i="10"/>
  <c r="AB159" i="10"/>
  <c r="V159" i="10"/>
  <c r="U159" i="10"/>
  <c r="AC160" i="10"/>
  <c r="W160" i="10"/>
  <c r="AD161" i="10"/>
  <c r="AB163" i="10"/>
  <c r="V163" i="10"/>
  <c r="U163" i="10"/>
  <c r="AC164" i="10"/>
  <c r="W164" i="10"/>
  <c r="AD165" i="10"/>
  <c r="AB167" i="10"/>
  <c r="V167" i="10"/>
  <c r="U167" i="10"/>
  <c r="AB168" i="10"/>
  <c r="V168" i="10"/>
  <c r="U168" i="10"/>
  <c r="AC169" i="10"/>
  <c r="W169" i="10"/>
  <c r="AD170" i="10"/>
  <c r="AB173" i="10"/>
  <c r="V173" i="10"/>
  <c r="U173" i="10"/>
  <c r="AC174" i="10"/>
  <c r="W174" i="10"/>
  <c r="AD175" i="10"/>
  <c r="AB177" i="10"/>
  <c r="V177" i="10"/>
  <c r="U177" i="10"/>
  <c r="AC178" i="10"/>
  <c r="W178" i="10"/>
  <c r="AD179" i="10"/>
  <c r="AD183" i="10"/>
  <c r="X183" i="10"/>
  <c r="AA183" i="10"/>
  <c r="U183" i="10"/>
  <c r="AB184" i="10"/>
  <c r="AE185" i="10"/>
  <c r="Y185" i="10"/>
  <c r="AD186" i="10"/>
  <c r="X186" i="10"/>
  <c r="AA186" i="10"/>
  <c r="U186" i="10"/>
  <c r="AB187" i="10"/>
  <c r="AB190" i="10"/>
  <c r="AD192" i="10"/>
  <c r="X192" i="10"/>
  <c r="AA192" i="10"/>
  <c r="U192" i="10"/>
  <c r="AB193" i="10"/>
  <c r="AC195" i="10"/>
  <c r="AC196" i="10"/>
  <c r="AC198" i="10"/>
  <c r="AB199" i="10"/>
  <c r="V199" i="10"/>
  <c r="AC201" i="10"/>
  <c r="AC202" i="10"/>
  <c r="AC203" i="10"/>
  <c r="AC204" i="10"/>
  <c r="AC205" i="10"/>
  <c r="AC206" i="10"/>
  <c r="AC207" i="10"/>
  <c r="AC208" i="10"/>
  <c r="AC209" i="10"/>
  <c r="AC210" i="10"/>
  <c r="AC211" i="10"/>
  <c r="AC212" i="10"/>
  <c r="AC213" i="10"/>
  <c r="AC214" i="10"/>
  <c r="AC215" i="10"/>
  <c r="AC216" i="10"/>
  <c r="AC217" i="10"/>
  <c r="AC218" i="10"/>
  <c r="AB220" i="10"/>
  <c r="V220" i="10"/>
  <c r="AB221" i="10"/>
  <c r="V221" i="10"/>
  <c r="AB222" i="10"/>
  <c r="V222" i="10"/>
  <c r="AB223" i="10"/>
  <c r="V223" i="10"/>
  <c r="AB224" i="10"/>
  <c r="V224" i="10"/>
  <c r="AB225" i="10"/>
  <c r="V225" i="10"/>
  <c r="AB229" i="10"/>
  <c r="V229" i="10"/>
  <c r="AB230" i="10"/>
  <c r="V230" i="10"/>
  <c r="AB233" i="10"/>
  <c r="V233" i="10"/>
  <c r="U233" i="10"/>
  <c r="AD239" i="10"/>
  <c r="X239" i="10"/>
  <c r="AA257" i="10"/>
  <c r="U257" i="10"/>
  <c r="AE257" i="10"/>
  <c r="Y257" i="10"/>
  <c r="AA261" i="10"/>
  <c r="U261" i="10"/>
  <c r="AE261" i="10"/>
  <c r="Y261" i="10"/>
  <c r="AA265" i="10"/>
  <c r="U265" i="10"/>
  <c r="AE265" i="10"/>
  <c r="Y265" i="10"/>
  <c r="AB278" i="10"/>
  <c r="V278" i="10"/>
  <c r="AC281" i="10"/>
  <c r="W281" i="10"/>
  <c r="AB284" i="10"/>
  <c r="V284" i="10"/>
  <c r="AC285" i="10"/>
  <c r="W285" i="10"/>
  <c r="AB304" i="10"/>
  <c r="V304" i="10"/>
  <c r="AC305" i="10"/>
  <c r="W305" i="10"/>
  <c r="V313" i="10"/>
  <c r="AD314" i="10"/>
  <c r="X314" i="10"/>
  <c r="U318" i="10"/>
  <c r="AA318" i="10"/>
  <c r="Y318" i="10"/>
  <c r="AE318" i="10"/>
  <c r="AD381" i="10"/>
  <c r="X381" i="10"/>
  <c r="V108" i="10"/>
  <c r="V109" i="10"/>
  <c r="V110" i="10"/>
  <c r="V111" i="10"/>
  <c r="V112" i="10"/>
  <c r="V113" i="10"/>
  <c r="V114" i="10"/>
  <c r="V116" i="10"/>
  <c r="V117" i="10"/>
  <c r="V118" i="10"/>
  <c r="V119" i="10"/>
  <c r="V120" i="10"/>
  <c r="V121" i="10"/>
  <c r="V122" i="10"/>
  <c r="V123" i="10"/>
  <c r="V124" i="10"/>
  <c r="V125" i="10"/>
  <c r="V126" i="10"/>
  <c r="V127" i="10"/>
  <c r="V128" i="10"/>
  <c r="V129" i="10"/>
  <c r="V130" i="10"/>
  <c r="V131" i="10"/>
  <c r="V132" i="10"/>
  <c r="V133" i="10"/>
  <c r="V134" i="10"/>
  <c r="V135" i="10"/>
  <c r="V136" i="10"/>
  <c r="V137" i="10"/>
  <c r="V138" i="10"/>
  <c r="V139" i="10"/>
  <c r="V140" i="10"/>
  <c r="V142" i="10"/>
  <c r="V143" i="10"/>
  <c r="V144" i="10"/>
  <c r="V145" i="10"/>
  <c r="V146" i="10"/>
  <c r="V147" i="10"/>
  <c r="V148" i="10"/>
  <c r="V149" i="10"/>
  <c r="V150" i="10"/>
  <c r="V151" i="10"/>
  <c r="V152" i="10"/>
  <c r="V153" i="10"/>
  <c r="V155" i="10"/>
  <c r="V156" i="10"/>
  <c r="V157" i="10"/>
  <c r="AD158" i="10"/>
  <c r="Y159" i="10"/>
  <c r="AB160" i="10"/>
  <c r="V160" i="10"/>
  <c r="U160" i="10"/>
  <c r="AC161" i="10"/>
  <c r="W161" i="10"/>
  <c r="AD162" i="10"/>
  <c r="Y163" i="10"/>
  <c r="AB164" i="10"/>
  <c r="V164" i="10"/>
  <c r="U164" i="10"/>
  <c r="AC165" i="10"/>
  <c r="W165" i="10"/>
  <c r="AD166" i="10"/>
  <c r="Y167" i="10"/>
  <c r="Y168" i="10"/>
  <c r="AB169" i="10"/>
  <c r="V169" i="10"/>
  <c r="U169" i="10"/>
  <c r="AC170" i="10"/>
  <c r="W170" i="10"/>
  <c r="AD172" i="10"/>
  <c r="Y173" i="10"/>
  <c r="AB174" i="10"/>
  <c r="V174" i="10"/>
  <c r="U174" i="10"/>
  <c r="AC175" i="10"/>
  <c r="W175" i="10"/>
  <c r="AD176" i="10"/>
  <c r="Y177" i="10"/>
  <c r="AB178" i="10"/>
  <c r="V178" i="10"/>
  <c r="U178" i="10"/>
  <c r="AC179" i="10"/>
  <c r="W179" i="10"/>
  <c r="AD180" i="10"/>
  <c r="AE183" i="10"/>
  <c r="Y183" i="10"/>
  <c r="AD184" i="10"/>
  <c r="X184" i="10"/>
  <c r="AA184" i="10"/>
  <c r="U184" i="10"/>
  <c r="AE186" i="10"/>
  <c r="Y186" i="10"/>
  <c r="AD187" i="10"/>
  <c r="X187" i="10"/>
  <c r="AA187" i="10"/>
  <c r="U187" i="10"/>
  <c r="AB188" i="10"/>
  <c r="AE189" i="10"/>
  <c r="Y189" i="10"/>
  <c r="AD190" i="10"/>
  <c r="X190" i="10"/>
  <c r="AA190" i="10"/>
  <c r="U190" i="10"/>
  <c r="AB191" i="10"/>
  <c r="AE192" i="10"/>
  <c r="Y192" i="10"/>
  <c r="AD193" i="10"/>
  <c r="X193" i="10"/>
  <c r="AA193" i="10"/>
  <c r="U193" i="10"/>
  <c r="AB195" i="10"/>
  <c r="V195" i="10"/>
  <c r="AB196" i="10"/>
  <c r="V196" i="10"/>
  <c r="AB198" i="10"/>
  <c r="V198" i="10"/>
  <c r="AB201" i="10"/>
  <c r="V201" i="10"/>
  <c r="AB202" i="10"/>
  <c r="V202" i="10"/>
  <c r="AB203" i="10"/>
  <c r="V203" i="10"/>
  <c r="AB204" i="10"/>
  <c r="V204" i="10"/>
  <c r="AB205" i="10"/>
  <c r="V205" i="10"/>
  <c r="AB206" i="10"/>
  <c r="V206" i="10"/>
  <c r="AB207" i="10"/>
  <c r="V207" i="10"/>
  <c r="AB208" i="10"/>
  <c r="V208" i="10"/>
  <c r="AB209" i="10"/>
  <c r="V209" i="10"/>
  <c r="AB210" i="10"/>
  <c r="V210" i="10"/>
  <c r="AB211" i="10"/>
  <c r="V211" i="10"/>
  <c r="AB212" i="10"/>
  <c r="V212" i="10"/>
  <c r="AB213" i="10"/>
  <c r="V213" i="10"/>
  <c r="AB214" i="10"/>
  <c r="V214" i="10"/>
  <c r="AB215" i="10"/>
  <c r="V215" i="10"/>
  <c r="AB216" i="10"/>
  <c r="V216" i="10"/>
  <c r="AB217" i="10"/>
  <c r="V217" i="10"/>
  <c r="AB218" i="10"/>
  <c r="V218" i="10"/>
  <c r="AB219" i="10"/>
  <c r="V219" i="10"/>
  <c r="AA220" i="10"/>
  <c r="U220" i="10"/>
  <c r="AE220" i="10"/>
  <c r="Y220" i="10"/>
  <c r="AA221" i="10"/>
  <c r="U221" i="10"/>
  <c r="AE221" i="10"/>
  <c r="Y221" i="10"/>
  <c r="AA222" i="10"/>
  <c r="U222" i="10"/>
  <c r="AE222" i="10"/>
  <c r="Y222" i="10"/>
  <c r="AA223" i="10"/>
  <c r="U223" i="10"/>
  <c r="AE223" i="10"/>
  <c r="Y223" i="10"/>
  <c r="AA224" i="10"/>
  <c r="U224" i="10"/>
  <c r="AE224" i="10"/>
  <c r="Y224" i="10"/>
  <c r="AA225" i="10"/>
  <c r="U225" i="10"/>
  <c r="AE225" i="10"/>
  <c r="Y225" i="10"/>
  <c r="AC227" i="10"/>
  <c r="AB228" i="10"/>
  <c r="V228" i="10"/>
  <c r="AA229" i="10"/>
  <c r="U229" i="10"/>
  <c r="AE229" i="10"/>
  <c r="Y229" i="10"/>
  <c r="AA230" i="10"/>
  <c r="U230" i="10"/>
  <c r="AE230" i="10"/>
  <c r="Y230" i="10"/>
  <c r="AB231" i="10"/>
  <c r="V231" i="10"/>
  <c r="Y233" i="10"/>
  <c r="AA235" i="10"/>
  <c r="U235" i="10"/>
  <c r="AE235" i="10"/>
  <c r="Y235" i="10"/>
  <c r="V241" i="10"/>
  <c r="AB241" i="10"/>
  <c r="AA243" i="10"/>
  <c r="U243" i="10"/>
  <c r="V245" i="10"/>
  <c r="AB245" i="10"/>
  <c r="V248" i="10"/>
  <c r="AB248" i="10"/>
  <c r="AB254" i="10"/>
  <c r="V254" i="10"/>
  <c r="AB255" i="10"/>
  <c r="V255" i="10"/>
  <c r="AA256" i="10"/>
  <c r="U256" i="10"/>
  <c r="AE256" i="10"/>
  <c r="Y256" i="10"/>
  <c r="AA260" i="10"/>
  <c r="U260" i="10"/>
  <c r="AE260" i="10"/>
  <c r="Y260" i="10"/>
  <c r="AA264" i="10"/>
  <c r="U264" i="10"/>
  <c r="AE264" i="10"/>
  <c r="Y264" i="10"/>
  <c r="AB267" i="10"/>
  <c r="V267" i="10"/>
  <c r="AD289" i="10"/>
  <c r="AD295" i="10"/>
  <c r="AD299" i="10"/>
  <c r="AD302" i="10"/>
  <c r="AB308" i="10"/>
  <c r="V308" i="10"/>
  <c r="AC312" i="10"/>
  <c r="W312" i="10"/>
  <c r="V317" i="10"/>
  <c r="AD318" i="10"/>
  <c r="X318" i="10"/>
  <c r="AA364" i="10"/>
  <c r="U364" i="10"/>
  <c r="AC365" i="10"/>
  <c r="W365" i="10"/>
  <c r="AA369" i="10"/>
  <c r="U369" i="10"/>
  <c r="AC370" i="10"/>
  <c r="W370" i="10"/>
  <c r="AD376" i="10"/>
  <c r="X376" i="10"/>
  <c r="AD377" i="10"/>
  <c r="X377" i="10"/>
  <c r="AC378" i="10"/>
  <c r="W378" i="10"/>
  <c r="AC158" i="10"/>
  <c r="W158" i="10"/>
  <c r="AD159" i="10"/>
  <c r="Y160" i="10"/>
  <c r="AB161" i="10"/>
  <c r="V161" i="10"/>
  <c r="U161" i="10"/>
  <c r="AC162" i="10"/>
  <c r="W162" i="10"/>
  <c r="AD163" i="10"/>
  <c r="Y164" i="10"/>
  <c r="AB165" i="10"/>
  <c r="V165" i="10"/>
  <c r="U165" i="10"/>
  <c r="AC166" i="10"/>
  <c r="W166" i="10"/>
  <c r="AD167" i="10"/>
  <c r="AD168" i="10"/>
  <c r="Y169" i="10"/>
  <c r="AB170" i="10"/>
  <c r="V170" i="10"/>
  <c r="U170" i="10"/>
  <c r="AC172" i="10"/>
  <c r="W172" i="10"/>
  <c r="AD173" i="10"/>
  <c r="Y174" i="10"/>
  <c r="AB175" i="10"/>
  <c r="V175" i="10"/>
  <c r="U175" i="10"/>
  <c r="AC176" i="10"/>
  <c r="W176" i="10"/>
  <c r="AD177" i="10"/>
  <c r="Y178" i="10"/>
  <c r="AB179" i="10"/>
  <c r="V179" i="10"/>
  <c r="U179" i="10"/>
  <c r="AC180" i="10"/>
  <c r="W180" i="10"/>
  <c r="W183" i="10"/>
  <c r="AE184" i="10"/>
  <c r="Y184" i="10"/>
  <c r="AB185" i="10"/>
  <c r="W186" i="10"/>
  <c r="AE187" i="10"/>
  <c r="Y187" i="10"/>
  <c r="AD188" i="10"/>
  <c r="X188" i="10"/>
  <c r="AA188" i="10"/>
  <c r="U188" i="10"/>
  <c r="AE190" i="10"/>
  <c r="Y190" i="10"/>
  <c r="AD191" i="10"/>
  <c r="X191" i="10"/>
  <c r="AA191" i="10"/>
  <c r="U191" i="10"/>
  <c r="W192" i="10"/>
  <c r="AE193" i="10"/>
  <c r="Y193" i="10"/>
  <c r="AA195" i="10"/>
  <c r="U195" i="10"/>
  <c r="AE195" i="10"/>
  <c r="Y195" i="10"/>
  <c r="AA196" i="10"/>
  <c r="U196" i="10"/>
  <c r="AE196" i="10"/>
  <c r="Y196" i="10"/>
  <c r="AA198" i="10"/>
  <c r="U198" i="10"/>
  <c r="AE198" i="10"/>
  <c r="Y198" i="10"/>
  <c r="AB200" i="10"/>
  <c r="V200" i="10"/>
  <c r="AA201" i="10"/>
  <c r="U201" i="10"/>
  <c r="AE201" i="10"/>
  <c r="Y201" i="10"/>
  <c r="AA202" i="10"/>
  <c r="U202" i="10"/>
  <c r="AE202" i="10"/>
  <c r="Y202" i="10"/>
  <c r="AA203" i="10"/>
  <c r="U203" i="10"/>
  <c r="AE203" i="10"/>
  <c r="Y203" i="10"/>
  <c r="AA204" i="10"/>
  <c r="U204" i="10"/>
  <c r="AE204" i="10"/>
  <c r="Y204" i="10"/>
  <c r="AA205" i="10"/>
  <c r="U205" i="10"/>
  <c r="AE205" i="10"/>
  <c r="Y205" i="10"/>
  <c r="AA206" i="10"/>
  <c r="U206" i="10"/>
  <c r="AE206" i="10"/>
  <c r="Y206" i="10"/>
  <c r="AA207" i="10"/>
  <c r="U207" i="10"/>
  <c r="AE207" i="10"/>
  <c r="Y207" i="10"/>
  <c r="AA208" i="10"/>
  <c r="U208" i="10"/>
  <c r="AE208" i="10"/>
  <c r="Y208" i="10"/>
  <c r="AA209" i="10"/>
  <c r="U209" i="10"/>
  <c r="AE209" i="10"/>
  <c r="Y209" i="10"/>
  <c r="AA210" i="10"/>
  <c r="U210" i="10"/>
  <c r="AE210" i="10"/>
  <c r="Y210" i="10"/>
  <c r="AA211" i="10"/>
  <c r="U211" i="10"/>
  <c r="AE211" i="10"/>
  <c r="Y211" i="10"/>
  <c r="AA212" i="10"/>
  <c r="U212" i="10"/>
  <c r="AE212" i="10"/>
  <c r="Y212" i="10"/>
  <c r="AA213" i="10"/>
  <c r="U213" i="10"/>
  <c r="AE213" i="10"/>
  <c r="Y213" i="10"/>
  <c r="AA214" i="10"/>
  <c r="U214" i="10"/>
  <c r="AE214" i="10"/>
  <c r="Y214" i="10"/>
  <c r="AA215" i="10"/>
  <c r="U215" i="10"/>
  <c r="AE215" i="10"/>
  <c r="Y215" i="10"/>
  <c r="AA216" i="10"/>
  <c r="U216" i="10"/>
  <c r="AE216" i="10"/>
  <c r="Y216" i="10"/>
  <c r="AA217" i="10"/>
  <c r="U217" i="10"/>
  <c r="AE217" i="10"/>
  <c r="Y217" i="10"/>
  <c r="AA218" i="10"/>
  <c r="U218" i="10"/>
  <c r="AE218" i="10"/>
  <c r="Y218" i="10"/>
  <c r="X220" i="10"/>
  <c r="X221" i="10"/>
  <c r="X222" i="10"/>
  <c r="X223" i="10"/>
  <c r="X224" i="10"/>
  <c r="X225" i="10"/>
  <c r="AB227" i="10"/>
  <c r="V227" i="10"/>
  <c r="X229" i="10"/>
  <c r="X230" i="10"/>
  <c r="AA231" i="10"/>
  <c r="U231" i="10"/>
  <c r="AE231" i="10"/>
  <c r="Y231" i="10"/>
  <c r="AB232" i="10"/>
  <c r="V232" i="10"/>
  <c r="AB234" i="10"/>
  <c r="V234" i="10"/>
  <c r="AC235" i="10"/>
  <c r="W235" i="10"/>
  <c r="V238" i="10"/>
  <c r="AB238" i="10"/>
  <c r="AA239" i="10"/>
  <c r="U239" i="10"/>
  <c r="AC240" i="10"/>
  <c r="W240" i="10"/>
  <c r="AA247" i="10"/>
  <c r="U247" i="10"/>
  <c r="AC252" i="10"/>
  <c r="AA259" i="10"/>
  <c r="U259" i="10"/>
  <c r="AE259" i="10"/>
  <c r="Y259" i="10"/>
  <c r="AA263" i="10"/>
  <c r="U263" i="10"/>
  <c r="AE263" i="10"/>
  <c r="Y263" i="10"/>
  <c r="AA288" i="10"/>
  <c r="U288" i="10"/>
  <c r="AE288" i="10"/>
  <c r="Y288" i="10"/>
  <c r="AA298" i="10"/>
  <c r="U298" i="10"/>
  <c r="AE298" i="10"/>
  <c r="Y298" i="10"/>
  <c r="AC316" i="10"/>
  <c r="W316" i="10"/>
  <c r="AA359" i="10"/>
  <c r="U359" i="10"/>
  <c r="AE359" i="10"/>
  <c r="Y359" i="10"/>
  <c r="AB235" i="10"/>
  <c r="V235" i="10"/>
  <c r="AE239" i="10"/>
  <c r="Y239" i="10"/>
  <c r="AD240" i="10"/>
  <c r="X240" i="10"/>
  <c r="AA240" i="10"/>
  <c r="U240" i="10"/>
  <c r="AE243" i="10"/>
  <c r="Y243" i="10"/>
  <c r="AE247" i="10"/>
  <c r="Y247" i="10"/>
  <c r="AB252" i="10"/>
  <c r="V252" i="10"/>
  <c r="AB253" i="10"/>
  <c r="V253" i="10"/>
  <c r="AB266" i="10"/>
  <c r="V266" i="10"/>
  <c r="AA267" i="10"/>
  <c r="U267" i="10"/>
  <c r="AE267" i="10"/>
  <c r="Y267" i="10"/>
  <c r="AC269" i="10"/>
  <c r="AC270" i="10"/>
  <c r="AC271" i="10"/>
  <c r="AC272" i="10"/>
  <c r="AC273" i="10"/>
  <c r="AC274" i="10"/>
  <c r="AC275" i="10"/>
  <c r="AD277" i="10"/>
  <c r="AC279" i="10"/>
  <c r="W279" i="10"/>
  <c r="AC280" i="10"/>
  <c r="W280" i="10"/>
  <c r="AB281" i="10"/>
  <c r="V281" i="10"/>
  <c r="AC282" i="10"/>
  <c r="W282" i="10"/>
  <c r="AD283" i="10"/>
  <c r="AB285" i="10"/>
  <c r="V285" i="10"/>
  <c r="AC286" i="10"/>
  <c r="W286" i="10"/>
  <c r="AC287" i="10"/>
  <c r="W287" i="10"/>
  <c r="AB288" i="10"/>
  <c r="V288" i="10"/>
  <c r="AC289" i="10"/>
  <c r="W289" i="10"/>
  <c r="AD290" i="10"/>
  <c r="AC295" i="10"/>
  <c r="W295" i="10"/>
  <c r="AD296" i="10"/>
  <c r="AB298" i="10"/>
  <c r="V298" i="10"/>
  <c r="AC299" i="10"/>
  <c r="W299" i="10"/>
  <c r="AD300" i="10"/>
  <c r="AC302" i="10"/>
  <c r="W302" i="10"/>
  <c r="AD303" i="10"/>
  <c r="AB305" i="10"/>
  <c r="V305" i="10"/>
  <c r="AC306" i="10"/>
  <c r="W306" i="10"/>
  <c r="AD307" i="10"/>
  <c r="AC309" i="10"/>
  <c r="W309" i="10"/>
  <c r="AD311" i="10"/>
  <c r="X311" i="10"/>
  <c r="AC313" i="10"/>
  <c r="W313" i="10"/>
  <c r="V314" i="10"/>
  <c r="AD315" i="10"/>
  <c r="X315" i="10"/>
  <c r="AC317" i="10"/>
  <c r="W317" i="10"/>
  <c r="V318" i="10"/>
  <c r="AD319" i="10"/>
  <c r="X319" i="10"/>
  <c r="AB323" i="10"/>
  <c r="V323" i="10"/>
  <c r="AA324" i="10"/>
  <c r="U324" i="10"/>
  <c r="AE324" i="10"/>
  <c r="Y324" i="10"/>
  <c r="AB330" i="10"/>
  <c r="V330" i="10"/>
  <c r="AC331" i="10"/>
  <c r="W331" i="10"/>
  <c r="AA341" i="10"/>
  <c r="U341" i="10"/>
  <c r="AE341" i="10"/>
  <c r="Y341" i="10"/>
  <c r="AA350" i="10"/>
  <c r="U350" i="10"/>
  <c r="AE350" i="10"/>
  <c r="Y350" i="10"/>
  <c r="AB358" i="10"/>
  <c r="V358" i="10"/>
  <c r="AC359" i="10"/>
  <c r="W359" i="10"/>
  <c r="AE368" i="10"/>
  <c r="Y368" i="10"/>
  <c r="AD369" i="10"/>
  <c r="X369" i="10"/>
  <c r="AE372" i="10"/>
  <c r="Y372" i="10"/>
  <c r="AD373" i="10"/>
  <c r="X373" i="10"/>
  <c r="AA387" i="10"/>
  <c r="U387" i="10"/>
  <c r="AE390" i="10"/>
  <c r="Y390" i="10"/>
  <c r="AC394" i="10"/>
  <c r="AA411" i="10"/>
  <c r="U411" i="10"/>
  <c r="AE411" i="10"/>
  <c r="Y411" i="10"/>
  <c r="AD234" i="10"/>
  <c r="AD238" i="10"/>
  <c r="X238" i="10"/>
  <c r="AA238" i="10"/>
  <c r="U238" i="10"/>
  <c r="W239" i="10"/>
  <c r="AE240" i="10"/>
  <c r="Y240" i="10"/>
  <c r="AD241" i="10"/>
  <c r="X241" i="10"/>
  <c r="AA241" i="10"/>
  <c r="U241" i="10"/>
  <c r="AB242" i="10"/>
  <c r="W243" i="10"/>
  <c r="AA244" i="10"/>
  <c r="U244" i="10"/>
  <c r="AE244" i="10"/>
  <c r="Y244" i="10"/>
  <c r="AD245" i="10"/>
  <c r="X245" i="10"/>
  <c r="AA245" i="10"/>
  <c r="U245" i="10"/>
  <c r="AB246" i="10"/>
  <c r="W247" i="10"/>
  <c r="AD248" i="10"/>
  <c r="X248" i="10"/>
  <c r="AA248" i="10"/>
  <c r="U248" i="10"/>
  <c r="AB249" i="10"/>
  <c r="Q250" i="10"/>
  <c r="AC250" i="10"/>
  <c r="AA252" i="10"/>
  <c r="U252" i="10"/>
  <c r="AE252" i="10"/>
  <c r="Y252" i="10"/>
  <c r="AA253" i="10"/>
  <c r="U253" i="10"/>
  <c r="AE253" i="10"/>
  <c r="Y253" i="10"/>
  <c r="AC256" i="10"/>
  <c r="AC257" i="10"/>
  <c r="AC258" i="10"/>
  <c r="AC259" i="10"/>
  <c r="AC260" i="10"/>
  <c r="AC261" i="10"/>
  <c r="AC262" i="10"/>
  <c r="AC263" i="10"/>
  <c r="AC264" i="10"/>
  <c r="AC265" i="10"/>
  <c r="AB269" i="10"/>
  <c r="V269" i="10"/>
  <c r="AB270" i="10"/>
  <c r="V270" i="10"/>
  <c r="AB271" i="10"/>
  <c r="V271" i="10"/>
  <c r="AB272" i="10"/>
  <c r="V272" i="10"/>
  <c r="AB273" i="10"/>
  <c r="V273" i="10"/>
  <c r="AB274" i="10"/>
  <c r="V274" i="10"/>
  <c r="AB275" i="10"/>
  <c r="V275" i="10"/>
  <c r="AC277" i="10"/>
  <c r="W277" i="10"/>
  <c r="AD278" i="10"/>
  <c r="AB282" i="10"/>
  <c r="V282" i="10"/>
  <c r="U282" i="10"/>
  <c r="AC283" i="10"/>
  <c r="W283" i="10"/>
  <c r="AD284" i="10"/>
  <c r="AB286" i="10"/>
  <c r="V286" i="10"/>
  <c r="U286" i="10"/>
  <c r="AB289" i="10"/>
  <c r="V289" i="10"/>
  <c r="U289" i="10"/>
  <c r="AC290" i="10"/>
  <c r="W290" i="10"/>
  <c r="AC291" i="10"/>
  <c r="W291" i="10"/>
  <c r="AC294" i="10"/>
  <c r="W294" i="10"/>
  <c r="AB295" i="10"/>
  <c r="V295" i="10"/>
  <c r="U295" i="10"/>
  <c r="AC296" i="10"/>
  <c r="W296" i="10"/>
  <c r="AD297" i="10"/>
  <c r="AB299" i="10"/>
  <c r="V299" i="10"/>
  <c r="U299" i="10"/>
  <c r="AC300" i="10"/>
  <c r="W300" i="10"/>
  <c r="AC301" i="10"/>
  <c r="W301" i="10"/>
  <c r="AB302" i="10"/>
  <c r="V302" i="10"/>
  <c r="U302" i="10"/>
  <c r="AC303" i="10"/>
  <c r="W303" i="10"/>
  <c r="AD304" i="10"/>
  <c r="AB306" i="10"/>
  <c r="V306" i="10"/>
  <c r="U306" i="10"/>
  <c r="AC307" i="10"/>
  <c r="W307" i="10"/>
  <c r="AD308" i="10"/>
  <c r="AB309" i="10"/>
  <c r="V309" i="10"/>
  <c r="U309" i="10"/>
  <c r="V311" i="10"/>
  <c r="AD312" i="10"/>
  <c r="X312" i="10"/>
  <c r="AE313" i="10"/>
  <c r="AC314" i="10"/>
  <c r="W314" i="10"/>
  <c r="V315" i="10"/>
  <c r="AD316" i="10"/>
  <c r="X316" i="10"/>
  <c r="AE317" i="10"/>
  <c r="AC318" i="10"/>
  <c r="W318" i="10"/>
  <c r="V319" i="10"/>
  <c r="AD320" i="10"/>
  <c r="X320" i="10"/>
  <c r="AC323" i="10"/>
  <c r="AC328" i="10"/>
  <c r="W328" i="10"/>
  <c r="AA338" i="10"/>
  <c r="U338" i="10"/>
  <c r="AE338" i="10"/>
  <c r="Y338" i="10"/>
  <c r="AC341" i="10"/>
  <c r="W341" i="10"/>
  <c r="AA347" i="10"/>
  <c r="U347" i="10"/>
  <c r="AE347" i="10"/>
  <c r="Y347" i="10"/>
  <c r="AC350" i="10"/>
  <c r="W350" i="10"/>
  <c r="AA354" i="10"/>
  <c r="U354" i="10"/>
  <c r="AE354" i="10"/>
  <c r="Y354" i="10"/>
  <c r="AD355" i="10"/>
  <c r="AE363" i="10"/>
  <c r="Y363" i="10"/>
  <c r="AD364" i="10"/>
  <c r="X364" i="10"/>
  <c r="AC234" i="10"/>
  <c r="W234" i="10"/>
  <c r="AD235" i="10"/>
  <c r="AE238" i="10"/>
  <c r="Y238" i="10"/>
  <c r="AB239" i="10"/>
  <c r="AE241" i="10"/>
  <c r="Y241" i="10"/>
  <c r="AD242" i="10"/>
  <c r="X242" i="10"/>
  <c r="AA242" i="10"/>
  <c r="U242" i="10"/>
  <c r="AB243" i="10"/>
  <c r="AE245" i="10"/>
  <c r="Y245" i="10"/>
  <c r="AD246" i="10"/>
  <c r="X246" i="10"/>
  <c r="AA246" i="10"/>
  <c r="U246" i="10"/>
  <c r="AE248" i="10"/>
  <c r="Y248" i="10"/>
  <c r="AD249" i="10"/>
  <c r="X249" i="10"/>
  <c r="AA249" i="10"/>
  <c r="U249" i="10"/>
  <c r="X252" i="10"/>
  <c r="X253" i="10"/>
  <c r="AB256" i="10"/>
  <c r="V256" i="10"/>
  <c r="AB257" i="10"/>
  <c r="V257" i="10"/>
  <c r="AB258" i="10"/>
  <c r="V258" i="10"/>
  <c r="AB259" i="10"/>
  <c r="V259" i="10"/>
  <c r="AB260" i="10"/>
  <c r="V260" i="10"/>
  <c r="AB261" i="10"/>
  <c r="V261" i="10"/>
  <c r="AB262" i="10"/>
  <c r="V262" i="10"/>
  <c r="AB263" i="10"/>
  <c r="V263" i="10"/>
  <c r="AB264" i="10"/>
  <c r="V264" i="10"/>
  <c r="AB265" i="10"/>
  <c r="V265" i="10"/>
  <c r="AC267" i="10"/>
  <c r="AB268" i="10"/>
  <c r="V268" i="10"/>
  <c r="AA269" i="10"/>
  <c r="U269" i="10"/>
  <c r="AE269" i="10"/>
  <c r="Y269" i="10"/>
  <c r="AA270" i="10"/>
  <c r="U270" i="10"/>
  <c r="AE270" i="10"/>
  <c r="Y270" i="10"/>
  <c r="AA271" i="10"/>
  <c r="U271" i="10"/>
  <c r="AE271" i="10"/>
  <c r="Y271" i="10"/>
  <c r="AA272" i="10"/>
  <c r="U272" i="10"/>
  <c r="AE272" i="10"/>
  <c r="Y272" i="10"/>
  <c r="AA273" i="10"/>
  <c r="U273" i="10"/>
  <c r="AE273" i="10"/>
  <c r="Y273" i="10"/>
  <c r="AA274" i="10"/>
  <c r="U274" i="10"/>
  <c r="AE274" i="10"/>
  <c r="Y274" i="10"/>
  <c r="AA275" i="10"/>
  <c r="U275" i="10"/>
  <c r="AE275" i="10"/>
  <c r="Y275" i="10"/>
  <c r="AB277" i="10"/>
  <c r="V277" i="10"/>
  <c r="U277" i="10"/>
  <c r="AC278" i="10"/>
  <c r="W278" i="10"/>
  <c r="AD281" i="10"/>
  <c r="Y282" i="10"/>
  <c r="AB283" i="10"/>
  <c r="V283" i="10"/>
  <c r="U283" i="10"/>
  <c r="AC284" i="10"/>
  <c r="W284" i="10"/>
  <c r="AD285" i="10"/>
  <c r="Y286" i="10"/>
  <c r="AD288" i="10"/>
  <c r="Y289" i="10"/>
  <c r="AB290" i="10"/>
  <c r="V290" i="10"/>
  <c r="U290" i="10"/>
  <c r="AC292" i="10"/>
  <c r="W292" i="10"/>
  <c r="Y295" i="10"/>
  <c r="AB296" i="10"/>
  <c r="V296" i="10"/>
  <c r="U296" i="10"/>
  <c r="AC297" i="10"/>
  <c r="W297" i="10"/>
  <c r="AD298" i="10"/>
  <c r="Y299" i="10"/>
  <c r="AB300" i="10"/>
  <c r="V300" i="10"/>
  <c r="U300" i="10"/>
  <c r="Y302" i="10"/>
  <c r="AB303" i="10"/>
  <c r="V303" i="10"/>
  <c r="AC304" i="10"/>
  <c r="W304" i="10"/>
  <c r="AD305" i="10"/>
  <c r="Y306" i="10"/>
  <c r="AB307" i="10"/>
  <c r="V307" i="10"/>
  <c r="AC308" i="10"/>
  <c r="W308" i="10"/>
  <c r="Y309" i="10"/>
  <c r="AC311" i="10"/>
  <c r="W311" i="10"/>
  <c r="AA311" i="10"/>
  <c r="V312" i="10"/>
  <c r="AD313" i="10"/>
  <c r="X313" i="10"/>
  <c r="AC315" i="10"/>
  <c r="W315" i="10"/>
  <c r="AA315" i="10"/>
  <c r="V316" i="10"/>
  <c r="AD317" i="10"/>
  <c r="X317" i="10"/>
  <c r="AC319" i="10"/>
  <c r="W319" i="10"/>
  <c r="AA319" i="10"/>
  <c r="V320" i="10"/>
  <c r="AD321" i="10"/>
  <c r="X321" i="10"/>
  <c r="V322" i="10"/>
  <c r="AB326" i="10"/>
  <c r="V326" i="10"/>
  <c r="X328" i="10"/>
  <c r="AD328" i="10"/>
  <c r="AA331" i="10"/>
  <c r="U331" i="10"/>
  <c r="AE331" i="10"/>
  <c r="Y331" i="10"/>
  <c r="AC338" i="10"/>
  <c r="W338" i="10"/>
  <c r="AC339" i="10"/>
  <c r="W339" i="10"/>
  <c r="AB340" i="10"/>
  <c r="V340" i="10"/>
  <c r="AC347" i="10"/>
  <c r="W347" i="10"/>
  <c r="AC348" i="10"/>
  <c r="W348" i="10"/>
  <c r="AB349" i="10"/>
  <c r="V349" i="10"/>
  <c r="AC354" i="10"/>
  <c r="W354" i="10"/>
  <c r="AD360" i="10"/>
  <c r="V367" i="10"/>
  <c r="AB367" i="10"/>
  <c r="V371" i="10"/>
  <c r="AB371" i="10"/>
  <c r="V379" i="10"/>
  <c r="AD380" i="10"/>
  <c r="X380" i="10"/>
  <c r="X244" i="10"/>
  <c r="U254" i="10"/>
  <c r="Y254" i="10"/>
  <c r="U255" i="10"/>
  <c r="U266" i="10"/>
  <c r="Y266" i="10"/>
  <c r="U268" i="10"/>
  <c r="V287" i="10"/>
  <c r="W321" i="10"/>
  <c r="X322" i="10"/>
  <c r="AC329" i="10"/>
  <c r="W329" i="10"/>
  <c r="Y330" i="10"/>
  <c r="AB331" i="10"/>
  <c r="V331" i="10"/>
  <c r="AD332" i="10"/>
  <c r="Y333" i="10"/>
  <c r="AC335" i="10"/>
  <c r="W335" i="10"/>
  <c r="AC337" i="10"/>
  <c r="W337" i="10"/>
  <c r="AB338" i="10"/>
  <c r="V338" i="10"/>
  <c r="Y340" i="10"/>
  <c r="AB341" i="10"/>
  <c r="V341" i="10"/>
  <c r="AC342" i="10"/>
  <c r="W342" i="10"/>
  <c r="AD343" i="10"/>
  <c r="Y344" i="10"/>
  <c r="AC346" i="10"/>
  <c r="W346" i="10"/>
  <c r="AB347" i="10"/>
  <c r="V347" i="10"/>
  <c r="Y349" i="10"/>
  <c r="AB350" i="10"/>
  <c r="V350" i="10"/>
  <c r="AC351" i="10"/>
  <c r="W351" i="10"/>
  <c r="AD352" i="10"/>
  <c r="Y353" i="10"/>
  <c r="AB354" i="10"/>
  <c r="V354" i="10"/>
  <c r="AC355" i="10"/>
  <c r="W355" i="10"/>
  <c r="AD357" i="10"/>
  <c r="AB359" i="10"/>
  <c r="V359" i="10"/>
  <c r="AC360" i="10"/>
  <c r="W360" i="10"/>
  <c r="AE364" i="10"/>
  <c r="Y364" i="10"/>
  <c r="AD365" i="10"/>
  <c r="X365" i="10"/>
  <c r="AA365" i="10"/>
  <c r="U365" i="10"/>
  <c r="AE369" i="10"/>
  <c r="Y369" i="10"/>
  <c r="AD370" i="10"/>
  <c r="X370" i="10"/>
  <c r="AA370" i="10"/>
  <c r="U370" i="10"/>
  <c r="AE373" i="10"/>
  <c r="Y373" i="10"/>
  <c r="AA373" i="10"/>
  <c r="U373" i="10"/>
  <c r="AD374" i="10"/>
  <c r="X374" i="10"/>
  <c r="AD378" i="10"/>
  <c r="X378" i="10"/>
  <c r="U378" i="10"/>
  <c r="AA378" i="10"/>
  <c r="Y380" i="10"/>
  <c r="AE380" i="10"/>
  <c r="V383" i="10"/>
  <c r="AD384" i="10"/>
  <c r="X384" i="10"/>
  <c r="AB403" i="10"/>
  <c r="V403" i="10"/>
  <c r="AB408" i="10"/>
  <c r="V408" i="10"/>
  <c r="AA410" i="10"/>
  <c r="U410" i="10"/>
  <c r="AE410" i="10"/>
  <c r="Y410" i="10"/>
  <c r="AC421" i="10"/>
  <c r="W421" i="10"/>
  <c r="AA323" i="10"/>
  <c r="U323" i="10"/>
  <c r="AE323" i="10"/>
  <c r="Y323" i="10"/>
  <c r="AC324" i="10"/>
  <c r="AA325" i="10"/>
  <c r="U325" i="10"/>
  <c r="AE325" i="10"/>
  <c r="Y325" i="10"/>
  <c r="AB325" i="10"/>
  <c r="V325" i="10"/>
  <c r="AC326" i="10"/>
  <c r="AB328" i="10"/>
  <c r="V328" i="10"/>
  <c r="AD329" i="10"/>
  <c r="AD330" i="10"/>
  <c r="AC332" i="10"/>
  <c r="W332" i="10"/>
  <c r="AD333" i="10"/>
  <c r="AD340" i="10"/>
  <c r="AB342" i="10"/>
  <c r="V342" i="10"/>
  <c r="U342" i="10"/>
  <c r="AC343" i="10"/>
  <c r="W343" i="10"/>
  <c r="AD344" i="10"/>
  <c r="AD349" i="10"/>
  <c r="AB351" i="10"/>
  <c r="V351" i="10"/>
  <c r="U351" i="10"/>
  <c r="AC352" i="10"/>
  <c r="W352" i="10"/>
  <c r="AD353" i="10"/>
  <c r="AB355" i="10"/>
  <c r="V355" i="10"/>
  <c r="U355" i="10"/>
  <c r="AC357" i="10"/>
  <c r="W357" i="10"/>
  <c r="AD358" i="10"/>
  <c r="AB360" i="10"/>
  <c r="V360" i="10"/>
  <c r="U360" i="10"/>
  <c r="AB363" i="10"/>
  <c r="W364" i="10"/>
  <c r="AE365" i="10"/>
  <c r="Y365" i="10"/>
  <c r="AA366" i="10"/>
  <c r="U366" i="10"/>
  <c r="AE366" i="10"/>
  <c r="Y366" i="10"/>
  <c r="AD367" i="10"/>
  <c r="X367" i="10"/>
  <c r="AA367" i="10"/>
  <c r="U367" i="10"/>
  <c r="AB368" i="10"/>
  <c r="W369" i="10"/>
  <c r="AE370" i="10"/>
  <c r="Y370" i="10"/>
  <c r="AD371" i="10"/>
  <c r="X371" i="10"/>
  <c r="AA371" i="10"/>
  <c r="U371" i="10"/>
  <c r="AB372" i="10"/>
  <c r="AD375" i="10"/>
  <c r="X375" i="10"/>
  <c r="AD379" i="10"/>
  <c r="X379" i="10"/>
  <c r="U382" i="10"/>
  <c r="AA382" i="10"/>
  <c r="Y384" i="10"/>
  <c r="AE384" i="10"/>
  <c r="AA386" i="10"/>
  <c r="U386" i="10"/>
  <c r="AE386" i="10"/>
  <c r="Y386" i="10"/>
  <c r="AE387" i="10"/>
  <c r="Y387" i="10"/>
  <c r="AA417" i="10"/>
  <c r="U417" i="10"/>
  <c r="AE417" i="10"/>
  <c r="Y417" i="10"/>
  <c r="AB329" i="10"/>
  <c r="V329" i="10"/>
  <c r="AC330" i="10"/>
  <c r="W330" i="10"/>
  <c r="AB332" i="10"/>
  <c r="V332" i="10"/>
  <c r="AC333" i="10"/>
  <c r="W333" i="10"/>
  <c r="AC334" i="10"/>
  <c r="W334" i="10"/>
  <c r="AC336" i="10"/>
  <c r="W336" i="10"/>
  <c r="AD338" i="10"/>
  <c r="AC340" i="10"/>
  <c r="W340" i="10"/>
  <c r="AD341" i="10"/>
  <c r="AB343" i="10"/>
  <c r="V343" i="10"/>
  <c r="AC344" i="10"/>
  <c r="W344" i="10"/>
  <c r="AC345" i="10"/>
  <c r="W345" i="10"/>
  <c r="AD347" i="10"/>
  <c r="AC349" i="10"/>
  <c r="W349" i="10"/>
  <c r="AD350" i="10"/>
  <c r="AB352" i="10"/>
  <c r="V352" i="10"/>
  <c r="AC353" i="10"/>
  <c r="W353" i="10"/>
  <c r="AD354" i="10"/>
  <c r="AC356" i="10"/>
  <c r="W356" i="10"/>
  <c r="AB357" i="10"/>
  <c r="V357" i="10"/>
  <c r="AC358" i="10"/>
  <c r="W358" i="10"/>
  <c r="AD359" i="10"/>
  <c r="Y360" i="10"/>
  <c r="AA362" i="10"/>
  <c r="U362" i="10"/>
  <c r="AE362" i="10"/>
  <c r="Y362" i="10"/>
  <c r="AD363" i="10"/>
  <c r="X363" i="10"/>
  <c r="AA363" i="10"/>
  <c r="U363" i="10"/>
  <c r="AB364" i="10"/>
  <c r="AE367" i="10"/>
  <c r="Y367" i="10"/>
  <c r="AD368" i="10"/>
  <c r="X368" i="10"/>
  <c r="AA368" i="10"/>
  <c r="U368" i="10"/>
  <c r="AE371" i="10"/>
  <c r="Y371" i="10"/>
  <c r="AD372" i="10"/>
  <c r="X372" i="10"/>
  <c r="AA372" i="10"/>
  <c r="U372" i="10"/>
  <c r="V374" i="10"/>
  <c r="Y375" i="10"/>
  <c r="AE375" i="10"/>
  <c r="AD382" i="10"/>
  <c r="X382" i="10"/>
  <c r="AD383" i="10"/>
  <c r="X383" i="10"/>
  <c r="AC388" i="10"/>
  <c r="W388" i="10"/>
  <c r="AB401" i="10"/>
  <c r="V401" i="10"/>
  <c r="AD403" i="10"/>
  <c r="X403" i="10"/>
  <c r="AA409" i="10"/>
  <c r="U409" i="10"/>
  <c r="AE409" i="10"/>
  <c r="Y409" i="10"/>
  <c r="AB416" i="10"/>
  <c r="V416" i="10"/>
  <c r="AC417" i="10"/>
  <c r="W417" i="10"/>
  <c r="AD418" i="10"/>
  <c r="W374" i="10"/>
  <c r="W379" i="10"/>
  <c r="AB381" i="10"/>
  <c r="W383" i="10"/>
  <c r="AD388" i="10"/>
  <c r="X388" i="10"/>
  <c r="AA388" i="10"/>
  <c r="U388" i="10"/>
  <c r="W390" i="10"/>
  <c r="AA391" i="10"/>
  <c r="U391" i="10"/>
  <c r="AE391" i="10"/>
  <c r="Y391" i="10"/>
  <c r="AB394" i="10"/>
  <c r="V394" i="10"/>
  <c r="AC396" i="10"/>
  <c r="AC397" i="10"/>
  <c r="AC398" i="10"/>
  <c r="AC399" i="10"/>
  <c r="AC400" i="10"/>
  <c r="AB402" i="10"/>
  <c r="V402" i="10"/>
  <c r="AA403" i="10"/>
  <c r="U403" i="10"/>
  <c r="AE403" i="10"/>
  <c r="Y403" i="10"/>
  <c r="AB407" i="10"/>
  <c r="V407" i="10"/>
  <c r="X409" i="10"/>
  <c r="AD413" i="10"/>
  <c r="AD415" i="10"/>
  <c r="AB417" i="10"/>
  <c r="V417" i="10"/>
  <c r="AC418" i="10"/>
  <c r="W418" i="10"/>
  <c r="AD419" i="10"/>
  <c r="X421" i="10"/>
  <c r="AD421" i="10"/>
  <c r="AA422" i="10"/>
  <c r="U422" i="10"/>
  <c r="AE422" i="10"/>
  <c r="Y422" i="10"/>
  <c r="AA424" i="10"/>
  <c r="U424" i="10"/>
  <c r="AE424" i="10"/>
  <c r="Y424" i="10"/>
  <c r="X425" i="10"/>
  <c r="AD425" i="10"/>
  <c r="AC426" i="10"/>
  <c r="W426" i="10"/>
  <c r="AB427" i="10"/>
  <c r="V427" i="10"/>
  <c r="AA428" i="10"/>
  <c r="U428" i="10"/>
  <c r="AE428" i="10"/>
  <c r="Y428" i="10"/>
  <c r="AA374" i="10"/>
  <c r="W375" i="10"/>
  <c r="AE376" i="10"/>
  <c r="W380" i="10"/>
  <c r="AB382" i="10"/>
  <c r="W384" i="10"/>
  <c r="X386" i="10"/>
  <c r="X387" i="10"/>
  <c r="AE388" i="10"/>
  <c r="Y388" i="10"/>
  <c r="AB390" i="10"/>
  <c r="AA392" i="10"/>
  <c r="U392" i="10"/>
  <c r="AE392" i="10"/>
  <c r="Y392" i="10"/>
  <c r="AA394" i="10"/>
  <c r="U394" i="10"/>
  <c r="AE394" i="10"/>
  <c r="Y394" i="10"/>
  <c r="AB396" i="10"/>
  <c r="V396" i="10"/>
  <c r="AB397" i="10"/>
  <c r="V397" i="10"/>
  <c r="AB398" i="10"/>
  <c r="V398" i="10"/>
  <c r="AB399" i="10"/>
  <c r="V399" i="10"/>
  <c r="AB400" i="10"/>
  <c r="V400" i="10"/>
  <c r="AB404" i="10"/>
  <c r="V404" i="10"/>
  <c r="AB406" i="10"/>
  <c r="V406" i="10"/>
  <c r="AC409" i="10"/>
  <c r="AC410" i="10"/>
  <c r="AC411" i="10"/>
  <c r="AC413" i="10"/>
  <c r="W413" i="10"/>
  <c r="AC415" i="10"/>
  <c r="W415" i="10"/>
  <c r="AD416" i="10"/>
  <c r="AB418" i="10"/>
  <c r="V418" i="10"/>
  <c r="AC419" i="10"/>
  <c r="W419" i="10"/>
  <c r="AB422" i="10"/>
  <c r="V422" i="10"/>
  <c r="AB424" i="10"/>
  <c r="V424" i="10"/>
  <c r="AA425" i="10"/>
  <c r="U425" i="10"/>
  <c r="AE425" i="10"/>
  <c r="Y425" i="10"/>
  <c r="X426" i="10"/>
  <c r="AD426" i="10"/>
  <c r="AC427" i="10"/>
  <c r="W427" i="10"/>
  <c r="AB428" i="10"/>
  <c r="V428" i="10"/>
  <c r="W376" i="10"/>
  <c r="AE378" i="10"/>
  <c r="W381" i="10"/>
  <c r="AE382" i="10"/>
  <c r="AB387" i="10"/>
  <c r="AA389" i="10"/>
  <c r="U389" i="10"/>
  <c r="AE389" i="10"/>
  <c r="Y389" i="10"/>
  <c r="AD390" i="10"/>
  <c r="X390" i="10"/>
  <c r="AA390" i="10"/>
  <c r="U390" i="10"/>
  <c r="AB395" i="10"/>
  <c r="V395" i="10"/>
  <c r="AA396" i="10"/>
  <c r="U396" i="10"/>
  <c r="AE396" i="10"/>
  <c r="Y396" i="10"/>
  <c r="AA397" i="10"/>
  <c r="U397" i="10"/>
  <c r="AE397" i="10"/>
  <c r="Y397" i="10"/>
  <c r="AA398" i="10"/>
  <c r="U398" i="10"/>
  <c r="AE398" i="10"/>
  <c r="Y398" i="10"/>
  <c r="AA399" i="10"/>
  <c r="U399" i="10"/>
  <c r="AE399" i="10"/>
  <c r="Y399" i="10"/>
  <c r="AA400" i="10"/>
  <c r="U400" i="10"/>
  <c r="AE400" i="10"/>
  <c r="Y400" i="10"/>
  <c r="AC403" i="10"/>
  <c r="AB405" i="10"/>
  <c r="V405" i="10"/>
  <c r="AB409" i="10"/>
  <c r="V409" i="10"/>
  <c r="AB410" i="10"/>
  <c r="V410" i="10"/>
  <c r="AB411" i="10"/>
  <c r="V411" i="10"/>
  <c r="AC412" i="10"/>
  <c r="W412" i="10"/>
  <c r="AB413" i="10"/>
  <c r="V413" i="10"/>
  <c r="U413" i="10"/>
  <c r="AC414" i="10"/>
  <c r="W414" i="10"/>
  <c r="AB415" i="10"/>
  <c r="V415" i="10"/>
  <c r="U415" i="10"/>
  <c r="AC416" i="10"/>
  <c r="W416" i="10"/>
  <c r="AD417" i="10"/>
  <c r="AB419" i="10"/>
  <c r="V419" i="10"/>
  <c r="U419" i="10"/>
  <c r="AC420" i="10"/>
  <c r="W420" i="10"/>
  <c r="AB421" i="10"/>
  <c r="V421" i="10"/>
  <c r="U421" i="10"/>
  <c r="AC422" i="10"/>
  <c r="W422" i="10"/>
  <c r="AC424" i="10"/>
  <c r="W424" i="10"/>
  <c r="AB425" i="10"/>
  <c r="V425" i="10"/>
  <c r="AA426" i="10"/>
  <c r="U426" i="10"/>
  <c r="AE426" i="10"/>
  <c r="Y426" i="10"/>
  <c r="X427" i="10"/>
  <c r="AD427" i="10"/>
  <c r="AC428" i="10"/>
  <c r="W428" i="10"/>
  <c r="U423" i="10"/>
  <c r="Y423" i="10"/>
  <c r="AD428" i="10"/>
  <c r="AE431" i="10"/>
  <c r="Y431" i="10"/>
  <c r="AD432" i="10"/>
  <c r="X432" i="10"/>
  <c r="AA432" i="10"/>
  <c r="U432" i="10"/>
  <c r="AE434" i="10"/>
  <c r="Y434" i="10"/>
  <c r="AD435" i="10"/>
  <c r="X435" i="10"/>
  <c r="AA435" i="10"/>
  <c r="U435" i="10"/>
  <c r="AC441" i="10"/>
  <c r="W441" i="10"/>
  <c r="AD442" i="10"/>
  <c r="X442" i="10"/>
  <c r="AC443" i="10"/>
  <c r="W443" i="10"/>
  <c r="W445" i="10"/>
  <c r="AC445" i="10"/>
  <c r="AA446" i="10"/>
  <c r="U446" i="10"/>
  <c r="AE446" i="10"/>
  <c r="Y446" i="10"/>
  <c r="W447" i="10"/>
  <c r="AC447" i="10"/>
  <c r="AA448" i="10"/>
  <c r="U448" i="10"/>
  <c r="AE448" i="10"/>
  <c r="Y448" i="10"/>
  <c r="W449" i="10"/>
  <c r="AC449" i="10"/>
  <c r="AA450" i="10"/>
  <c r="U450" i="10"/>
  <c r="AE450" i="10"/>
  <c r="Y450" i="10"/>
  <c r="AD454" i="10"/>
  <c r="X454" i="10"/>
  <c r="AD456" i="10"/>
  <c r="X456" i="10"/>
  <c r="AA458" i="10"/>
  <c r="U458" i="10"/>
  <c r="AE458" i="10"/>
  <c r="Y458" i="10"/>
  <c r="AA460" i="10"/>
  <c r="U460" i="10"/>
  <c r="AE460" i="10"/>
  <c r="Y460" i="10"/>
  <c r="AA462" i="10"/>
  <c r="U462" i="10"/>
  <c r="AE462" i="10"/>
  <c r="Y462" i="10"/>
  <c r="AB464" i="10"/>
  <c r="V464" i="10"/>
  <c r="AB472" i="10"/>
  <c r="AB476" i="10"/>
  <c r="X389" i="10"/>
  <c r="X391" i="10"/>
  <c r="X392" i="10"/>
  <c r="U395" i="10"/>
  <c r="Y395" i="10"/>
  <c r="U401" i="10"/>
  <c r="Y401" i="10"/>
  <c r="U402" i="10"/>
  <c r="Y402" i="10"/>
  <c r="U404" i="10"/>
  <c r="Y404" i="10"/>
  <c r="U405" i="10"/>
  <c r="Y405" i="10"/>
  <c r="AE432" i="10"/>
  <c r="Y432" i="10"/>
  <c r="AD433" i="10"/>
  <c r="X433" i="10"/>
  <c r="AA433" i="10"/>
  <c r="U433" i="10"/>
  <c r="AE435" i="10"/>
  <c r="Y435" i="10"/>
  <c r="AD436" i="10"/>
  <c r="X436" i="10"/>
  <c r="V437" i="10"/>
  <c r="AB437" i="10"/>
  <c r="AC438" i="10"/>
  <c r="W438" i="10"/>
  <c r="V439" i="10"/>
  <c r="AB439" i="10"/>
  <c r="AD441" i="10"/>
  <c r="X441" i="10"/>
  <c r="AD443" i="10"/>
  <c r="X443" i="10"/>
  <c r="AD445" i="10"/>
  <c r="X445" i="10"/>
  <c r="AD447" i="10"/>
  <c r="X447" i="10"/>
  <c r="AD449" i="10"/>
  <c r="X449" i="10"/>
  <c r="W453" i="10"/>
  <c r="AC453" i="10"/>
  <c r="AA454" i="10"/>
  <c r="U454" i="10"/>
  <c r="AE454" i="10"/>
  <c r="Y454" i="10"/>
  <c r="W455" i="10"/>
  <c r="AC455" i="10"/>
  <c r="AA456" i="10"/>
  <c r="U456" i="10"/>
  <c r="AE456" i="10"/>
  <c r="Y456" i="10"/>
  <c r="AB458" i="10"/>
  <c r="V458" i="10"/>
  <c r="X459" i="10"/>
  <c r="AD459" i="10"/>
  <c r="AB460" i="10"/>
  <c r="V460" i="10"/>
  <c r="X461" i="10"/>
  <c r="AD461" i="10"/>
  <c r="AB462" i="10"/>
  <c r="V462" i="10"/>
  <c r="AC464" i="10"/>
  <c r="W464" i="10"/>
  <c r="U465" i="10"/>
  <c r="AA465" i="10"/>
  <c r="Y465" i="10"/>
  <c r="AE465" i="10"/>
  <c r="W468" i="10"/>
  <c r="AC468" i="10"/>
  <c r="AC477" i="10"/>
  <c r="W477" i="10"/>
  <c r="W432" i="10"/>
  <c r="AB434" i="10"/>
  <c r="W435" i="10"/>
  <c r="AC437" i="10"/>
  <c r="W437" i="10"/>
  <c r="AD438" i="10"/>
  <c r="X438" i="10"/>
  <c r="AC439" i="10"/>
  <c r="W439" i="10"/>
  <c r="AA445" i="10"/>
  <c r="U445" i="10"/>
  <c r="AE445" i="10"/>
  <c r="Y445" i="10"/>
  <c r="W446" i="10"/>
  <c r="AC446" i="10"/>
  <c r="AA447" i="10"/>
  <c r="U447" i="10"/>
  <c r="AE447" i="10"/>
  <c r="Y447" i="10"/>
  <c r="W448" i="10"/>
  <c r="AC448" i="10"/>
  <c r="AA449" i="10"/>
  <c r="U449" i="10"/>
  <c r="AE449" i="10"/>
  <c r="Y449" i="10"/>
  <c r="AD452" i="10"/>
  <c r="X452" i="10"/>
  <c r="AD453" i="10"/>
  <c r="X453" i="10"/>
  <c r="AD455" i="10"/>
  <c r="X455" i="10"/>
  <c r="AA459" i="10"/>
  <c r="U459" i="10"/>
  <c r="AE459" i="10"/>
  <c r="Y459" i="10"/>
  <c r="AA461" i="10"/>
  <c r="U461" i="10"/>
  <c r="AE461" i="10"/>
  <c r="Y461" i="10"/>
  <c r="AB465" i="10"/>
  <c r="V465" i="10"/>
  <c r="AD468" i="10"/>
  <c r="X468" i="10"/>
  <c r="AA469" i="10"/>
  <c r="U469" i="10"/>
  <c r="AE469" i="10"/>
  <c r="Y469" i="10"/>
  <c r="AE477" i="10"/>
  <c r="AE433" i="10"/>
  <c r="Y433" i="10"/>
  <c r="AD434" i="10"/>
  <c r="X434" i="10"/>
  <c r="AA434" i="10"/>
  <c r="U434" i="10"/>
  <c r="AB435" i="10"/>
  <c r="AD437" i="10"/>
  <c r="X437" i="10"/>
  <c r="AD439" i="10"/>
  <c r="X439" i="10"/>
  <c r="V441" i="10"/>
  <c r="AB441" i="10"/>
  <c r="AC442" i="10"/>
  <c r="W442" i="10"/>
  <c r="AD446" i="10"/>
  <c r="X446" i="10"/>
  <c r="AD448" i="10"/>
  <c r="X448" i="10"/>
  <c r="AD450" i="10"/>
  <c r="X450" i="10"/>
  <c r="AA452" i="10"/>
  <c r="U452" i="10"/>
  <c r="AE452" i="10"/>
  <c r="Y452" i="10"/>
  <c r="AA453" i="10"/>
  <c r="U453" i="10"/>
  <c r="AE453" i="10"/>
  <c r="Y453" i="10"/>
  <c r="W454" i="10"/>
  <c r="AC454" i="10"/>
  <c r="AA455" i="10"/>
  <c r="U455" i="10"/>
  <c r="AE455" i="10"/>
  <c r="Y455" i="10"/>
  <c r="W456" i="10"/>
  <c r="AC456" i="10"/>
  <c r="X458" i="10"/>
  <c r="AD458" i="10"/>
  <c r="AB459" i="10"/>
  <c r="V459" i="10"/>
  <c r="X460" i="10"/>
  <c r="AD460" i="10"/>
  <c r="AB461" i="10"/>
  <c r="V461" i="10"/>
  <c r="X462" i="10"/>
  <c r="AD462" i="10"/>
  <c r="U464" i="10"/>
  <c r="AA464" i="10"/>
  <c r="Y464" i="10"/>
  <c r="AE464" i="10"/>
  <c r="AC465" i="10"/>
  <c r="W465" i="10"/>
  <c r="AA468" i="10"/>
  <c r="U468" i="10"/>
  <c r="AE468" i="10"/>
  <c r="Y468" i="10"/>
  <c r="AB469" i="10"/>
  <c r="AA470" i="10"/>
  <c r="AE470" i="10"/>
  <c r="AD471" i="10"/>
  <c r="AC472" i="10"/>
  <c r="AB473" i="10"/>
  <c r="AA474" i="10"/>
  <c r="AE474" i="10"/>
  <c r="AD475" i="10"/>
  <c r="AC476" i="10"/>
  <c r="AB477" i="10"/>
  <c r="AA478" i="10"/>
  <c r="AE478" i="10"/>
  <c r="AA481" i="10"/>
  <c r="U481" i="10"/>
  <c r="AE481" i="10"/>
  <c r="Y481" i="10"/>
  <c r="AC485" i="10"/>
  <c r="W485" i="10"/>
  <c r="AA491" i="10"/>
  <c r="U491" i="10"/>
  <c r="AE491" i="10"/>
  <c r="Y491" i="10"/>
  <c r="AA493" i="10"/>
  <c r="U493" i="10"/>
  <c r="AE493" i="10"/>
  <c r="Y493" i="10"/>
  <c r="W499" i="10"/>
  <c r="AC499" i="10"/>
  <c r="X469" i="10"/>
  <c r="AC469" i="10"/>
  <c r="AB470" i="10"/>
  <c r="AA471" i="10"/>
  <c r="AE471" i="10"/>
  <c r="AD472" i="10"/>
  <c r="AC473" i="10"/>
  <c r="AB474" i="10"/>
  <c r="AA475" i="10"/>
  <c r="AE475" i="10"/>
  <c r="AD476" i="10"/>
  <c r="AB478" i="10"/>
  <c r="AC479" i="10"/>
  <c r="AE480" i="10"/>
  <c r="AA480" i="10"/>
  <c r="AC480" i="10"/>
  <c r="AD482" i="10"/>
  <c r="AC482" i="10"/>
  <c r="AE482" i="10"/>
  <c r="AA482" i="10"/>
  <c r="AE483" i="10"/>
  <c r="Y483" i="10"/>
  <c r="AA487" i="10"/>
  <c r="U487" i="10"/>
  <c r="AE487" i="10"/>
  <c r="Y487" i="10"/>
  <c r="AD488" i="10"/>
  <c r="X488" i="10"/>
  <c r="AA489" i="10"/>
  <c r="U489" i="10"/>
  <c r="AE489" i="10"/>
  <c r="Y489" i="10"/>
  <c r="AA495" i="10"/>
  <c r="U495" i="10"/>
  <c r="AE495" i="10"/>
  <c r="Y495" i="10"/>
  <c r="U436" i="10"/>
  <c r="Y436" i="10"/>
  <c r="U437" i="10"/>
  <c r="Y437" i="10"/>
  <c r="U438" i="10"/>
  <c r="Y438" i="10"/>
  <c r="U439" i="10"/>
  <c r="Y439" i="10"/>
  <c r="U440" i="10"/>
  <c r="Y440" i="10"/>
  <c r="U441" i="10"/>
  <c r="Y441" i="10"/>
  <c r="U442" i="10"/>
  <c r="Y442" i="10"/>
  <c r="U443" i="10"/>
  <c r="Y443" i="10"/>
  <c r="V445" i="10"/>
  <c r="V446" i="10"/>
  <c r="V447" i="10"/>
  <c r="V448" i="10"/>
  <c r="V449" i="10"/>
  <c r="V450" i="10"/>
  <c r="V451" i="10"/>
  <c r="V452" i="10"/>
  <c r="V453" i="10"/>
  <c r="V454" i="10"/>
  <c r="V455" i="10"/>
  <c r="V456" i="10"/>
  <c r="W457" i="10"/>
  <c r="W458" i="10"/>
  <c r="W459" i="10"/>
  <c r="W460" i="10"/>
  <c r="W461" i="10"/>
  <c r="W462" i="10"/>
  <c r="W463" i="10"/>
  <c r="X464" i="10"/>
  <c r="X465" i="10"/>
  <c r="V467" i="10"/>
  <c r="V468" i="10"/>
  <c r="AC470" i="10"/>
  <c r="AB471" i="10"/>
  <c r="AA472" i="10"/>
  <c r="AE472" i="10"/>
  <c r="AD473" i="10"/>
  <c r="AC474" i="10"/>
  <c r="AB475" i="10"/>
  <c r="AA476" i="10"/>
  <c r="AE476" i="10"/>
  <c r="AD477" i="10"/>
  <c r="AC478" i="10"/>
  <c r="AB479" i="10"/>
  <c r="AD479" i="10"/>
  <c r="AE479" i="10"/>
  <c r="AB480" i="10"/>
  <c r="AC481" i="10"/>
  <c r="AD484" i="10"/>
  <c r="X484" i="10"/>
  <c r="AA485" i="10"/>
  <c r="U485" i="10"/>
  <c r="AE485" i="10"/>
  <c r="Y485" i="10"/>
  <c r="AC491" i="10"/>
  <c r="W491" i="10"/>
  <c r="AC493" i="10"/>
  <c r="W493" i="10"/>
  <c r="AC503" i="10"/>
  <c r="W503" i="10"/>
  <c r="AA473" i="10"/>
  <c r="AA477" i="10"/>
  <c r="AD480" i="10"/>
  <c r="AC483" i="10"/>
  <c r="W483" i="10"/>
  <c r="AA483" i="10"/>
  <c r="AC487" i="10"/>
  <c r="W487" i="10"/>
  <c r="AC489" i="10"/>
  <c r="W489" i="10"/>
  <c r="AC495" i="10"/>
  <c r="W495" i="10"/>
  <c r="X503" i="10"/>
  <c r="AD503" i="10"/>
  <c r="AB481" i="10"/>
  <c r="AD483" i="10"/>
  <c r="AC484" i="10"/>
  <c r="AB485" i="10"/>
  <c r="AA486" i="10"/>
  <c r="AE486" i="10"/>
  <c r="AD487" i="10"/>
  <c r="AC488" i="10"/>
  <c r="AB489" i="10"/>
  <c r="AA490" i="10"/>
  <c r="AE490" i="10"/>
  <c r="AD491" i="10"/>
  <c r="AC492" i="10"/>
  <c r="AB493" i="10"/>
  <c r="AA494" i="10"/>
  <c r="AE494" i="10"/>
  <c r="AD495" i="10"/>
  <c r="AC496" i="10"/>
  <c r="AD497" i="10"/>
  <c r="AC497" i="10"/>
  <c r="AE498" i="10"/>
  <c r="AA501" i="10"/>
  <c r="AC502" i="10"/>
  <c r="AD502" i="10"/>
  <c r="V503" i="10"/>
  <c r="L166" i="11"/>
  <c r="N166" i="11"/>
  <c r="AB486" i="10"/>
  <c r="AB490" i="10"/>
  <c r="AD492" i="10"/>
  <c r="AB494" i="10"/>
  <c r="AD496" i="10"/>
  <c r="AA498" i="10"/>
  <c r="AB499" i="10"/>
  <c r="AA484" i="10"/>
  <c r="AE484" i="10"/>
  <c r="AC486" i="10"/>
  <c r="AA488" i="10"/>
  <c r="AE488" i="10"/>
  <c r="AC490" i="10"/>
  <c r="AA492" i="10"/>
  <c r="AE492" i="10"/>
  <c r="AC494" i="10"/>
  <c r="AA496" i="10"/>
  <c r="AE496" i="10"/>
  <c r="AA497" i="10"/>
  <c r="Y499" i="10"/>
  <c r="AE500" i="10"/>
  <c r="AA500" i="10"/>
  <c r="AD500" i="10"/>
  <c r="AA502" i="10"/>
  <c r="AC498" i="10"/>
  <c r="AD498" i="10"/>
  <c r="AD501" i="10"/>
  <c r="AE501" i="10"/>
  <c r="H261" i="11"/>
  <c r="H263" i="11" s="1"/>
  <c r="K70" i="13"/>
  <c r="D233" i="1" s="1"/>
  <c r="P13" i="13"/>
  <c r="P261" i="11"/>
  <c r="G261" i="11"/>
  <c r="AG504" i="10"/>
  <c r="I113" i="11"/>
  <c r="N113" i="11" s="1"/>
  <c r="N261" i="11" s="1"/>
  <c r="L168" i="11"/>
  <c r="S261" i="11"/>
  <c r="C29" i="3" s="1"/>
  <c r="V14" i="13"/>
  <c r="X14" i="13" s="1"/>
  <c r="V15" i="13"/>
  <c r="X15" i="13" s="1"/>
  <c r="V16" i="13"/>
  <c r="X16" i="13" s="1"/>
  <c r="V17" i="13"/>
  <c r="X17" i="13" s="1"/>
  <c r="V18" i="13"/>
  <c r="X18" i="13" s="1"/>
  <c r="V19" i="13"/>
  <c r="X19" i="13" s="1"/>
  <c r="V20" i="13"/>
  <c r="X20" i="13" s="1"/>
  <c r="V22" i="13"/>
  <c r="X22" i="13" s="1"/>
  <c r="V23" i="13"/>
  <c r="X23" i="13" s="1"/>
  <c r="V24" i="13"/>
  <c r="X24" i="13" s="1"/>
  <c r="V25" i="13"/>
  <c r="X25" i="13" s="1"/>
  <c r="V26" i="13"/>
  <c r="X26" i="13" s="1"/>
  <c r="V28" i="13"/>
  <c r="X28" i="13" s="1"/>
  <c r="T127" i="13"/>
  <c r="C16" i="7" s="1"/>
  <c r="F16" i="7" s="1"/>
  <c r="V117" i="13"/>
  <c r="X117" i="13" s="1"/>
  <c r="M13" i="13"/>
  <c r="P127" i="13"/>
  <c r="D10" i="7" s="1"/>
  <c r="V81" i="13"/>
  <c r="R261" i="11"/>
  <c r="V120" i="13"/>
  <c r="X120" i="13" s="1"/>
  <c r="Q521" i="10" l="1"/>
  <c r="B22" i="9" s="1"/>
  <c r="D13" i="9"/>
  <c r="AE504" i="10"/>
  <c r="J521" i="10"/>
  <c r="J525" i="10" s="1"/>
  <c r="AB504" i="10"/>
  <c r="AB521" i="10" s="1"/>
  <c r="AB525" i="10" s="1"/>
  <c r="W521" i="10"/>
  <c r="F10" i="7"/>
  <c r="J70" i="13"/>
  <c r="L261" i="11"/>
  <c r="C12" i="8" s="1"/>
  <c r="I261" i="11"/>
  <c r="Y504" i="10"/>
  <c r="Y521" i="10" s="1"/>
  <c r="B23" i="9"/>
  <c r="B47" i="9" s="1"/>
  <c r="D20" i="6" s="1"/>
  <c r="G20" i="6" s="1"/>
  <c r="D86" i="1" s="1"/>
  <c r="B15" i="9"/>
  <c r="AC504" i="10"/>
  <c r="AC521" i="10" s="1"/>
  <c r="AD504" i="10"/>
  <c r="AD521" i="10" s="1"/>
  <c r="B20" i="9"/>
  <c r="V504" i="10"/>
  <c r="P521" i="10"/>
  <c r="P525" i="10" s="1"/>
  <c r="AE521" i="10"/>
  <c r="AE525" i="10" s="1"/>
  <c r="C29" i="6"/>
  <c r="D19" i="7"/>
  <c r="C12" i="3"/>
  <c r="C12" i="2"/>
  <c r="AA504" i="10"/>
  <c r="U504" i="10"/>
  <c r="J263" i="11"/>
  <c r="C41" i="3"/>
  <c r="AA521" i="10"/>
  <c r="U521" i="10"/>
  <c r="X521" i="10"/>
  <c r="C19" i="7"/>
  <c r="V13" i="13"/>
  <c r="V127" i="13"/>
  <c r="X127" i="13" s="1"/>
  <c r="X81" i="13"/>
  <c r="G263" i="11"/>
  <c r="C11" i="8"/>
  <c r="H561" i="10"/>
  <c r="Q525" i="10" l="1"/>
  <c r="D15" i="9"/>
  <c r="V521" i="10"/>
  <c r="V525" i="10" s="1"/>
  <c r="C19" i="8"/>
  <c r="C16" i="8"/>
  <c r="D234" i="1"/>
  <c r="D236" i="1" s="1"/>
  <c r="J129" i="13"/>
  <c r="E12" i="8"/>
  <c r="E17" i="12" s="1"/>
  <c r="F17" i="12" s="1"/>
  <c r="Y525" i="10"/>
  <c r="B44" i="9"/>
  <c r="D12" i="6" s="1"/>
  <c r="D21" i="9"/>
  <c r="D45" i="9" s="1"/>
  <c r="B21" i="9"/>
  <c r="X13" i="13"/>
  <c r="AD525" i="10"/>
  <c r="D23" i="9"/>
  <c r="AC525" i="10"/>
  <c r="D22" i="9"/>
  <c r="D46" i="9" s="1"/>
  <c r="U525" i="10"/>
  <c r="C20" i="9"/>
  <c r="D91" i="1" s="1"/>
  <c r="C31" i="7"/>
  <c r="F19" i="7"/>
  <c r="AA525" i="10"/>
  <c r="D20" i="9"/>
  <c r="C24" i="2"/>
  <c r="I20" i="6"/>
  <c r="B46" i="9"/>
  <c r="D19" i="6" s="1"/>
  <c r="G19" i="6" s="1"/>
  <c r="C18" i="8"/>
  <c r="C26" i="8"/>
  <c r="X525" i="10"/>
  <c r="C23" i="9"/>
  <c r="D94" i="1" s="1"/>
  <c r="C46" i="3"/>
  <c r="W525" i="10"/>
  <c r="C22" i="9"/>
  <c r="C33" i="2" l="1"/>
  <c r="E14" i="12"/>
  <c r="F14" i="12" s="1"/>
  <c r="F26" i="2"/>
  <c r="E21" i="12"/>
  <c r="F21" i="12" s="1"/>
  <c r="F24" i="2"/>
  <c r="C28" i="2"/>
  <c r="C48" i="2"/>
  <c r="E20" i="12"/>
  <c r="F20" i="12" s="1"/>
  <c r="C41" i="2"/>
  <c r="F32" i="2"/>
  <c r="C14" i="4"/>
  <c r="F36" i="2"/>
  <c r="F38" i="2"/>
  <c r="F31" i="2"/>
  <c r="F33" i="2" s="1"/>
  <c r="E16" i="12"/>
  <c r="F16" i="12" s="1"/>
  <c r="E18" i="12"/>
  <c r="F18" i="12" s="1"/>
  <c r="F12" i="14"/>
  <c r="G12" i="14" s="1"/>
  <c r="D174" i="1" s="1"/>
  <c r="C36" i="2"/>
  <c r="C24" i="4"/>
  <c r="D245" i="1" s="1"/>
  <c r="F44" i="2"/>
  <c r="C22" i="4"/>
  <c r="C35" i="2"/>
  <c r="E15" i="12"/>
  <c r="F15" i="12" s="1"/>
  <c r="E13" i="12"/>
  <c r="F13" i="12" s="1"/>
  <c r="F20" i="2"/>
  <c r="F43" i="2"/>
  <c r="F15" i="2"/>
  <c r="F22" i="2"/>
  <c r="F12" i="2"/>
  <c r="E12" i="12"/>
  <c r="F12" i="12" s="1"/>
  <c r="E19" i="12"/>
  <c r="F19" i="12" s="1"/>
  <c r="B24" i="9"/>
  <c r="C29" i="2"/>
  <c r="F41" i="2"/>
  <c r="F40" i="2"/>
  <c r="F50" i="2"/>
  <c r="F54" i="2" s="1"/>
  <c r="C53" i="2"/>
  <c r="C54" i="2" s="1"/>
  <c r="C21" i="9"/>
  <c r="C45" i="9" s="1"/>
  <c r="C17" i="8"/>
  <c r="C21" i="8" s="1"/>
  <c r="C25" i="8"/>
  <c r="C27" i="8" s="1"/>
  <c r="E25" i="8" s="1"/>
  <c r="B45" i="9"/>
  <c r="D18" i="6" s="1"/>
  <c r="G18" i="6" s="1"/>
  <c r="D84" i="1" s="1"/>
  <c r="D161" i="1"/>
  <c r="I19" i="6"/>
  <c r="D85" i="1"/>
  <c r="D47" i="9"/>
  <c r="D162" i="1"/>
  <c r="C46" i="9"/>
  <c r="D93" i="1"/>
  <c r="C27" i="4"/>
  <c r="C44" i="9"/>
  <c r="D16" i="6"/>
  <c r="G12" i="6"/>
  <c r="G16" i="6" s="1"/>
  <c r="D44" i="9"/>
  <c r="D24" i="9"/>
  <c r="C47" i="9"/>
  <c r="C26" i="2"/>
  <c r="C46" i="2" l="1"/>
  <c r="F28" i="2"/>
  <c r="D248" i="1" s="1"/>
  <c r="D92" i="1"/>
  <c r="F22" i="12"/>
  <c r="C30" i="2"/>
  <c r="F45" i="2"/>
  <c r="C24" i="9"/>
  <c r="C26" i="9" s="1"/>
  <c r="C11" i="2"/>
  <c r="B26" i="9"/>
  <c r="D21" i="6"/>
  <c r="G21" i="6" s="1"/>
  <c r="I21" i="6" s="1"/>
  <c r="C11" i="3"/>
  <c r="C24" i="3" s="1"/>
  <c r="L262" i="11"/>
  <c r="L263" i="11" s="1"/>
  <c r="E50" i="13"/>
  <c r="E29" i="13"/>
  <c r="E56" i="13"/>
  <c r="E16" i="8"/>
  <c r="E17" i="8"/>
  <c r="D118" i="1" s="1"/>
  <c r="E18" i="8"/>
  <c r="E20" i="8"/>
  <c r="E19" i="8"/>
  <c r="B48" i="9"/>
  <c r="B50" i="9" s="1"/>
  <c r="I18" i="6"/>
  <c r="D48" i="9"/>
  <c r="D50" i="9" s="1"/>
  <c r="D96" i="1"/>
  <c r="D164" i="1"/>
  <c r="E26" i="8"/>
  <c r="I16" i="6"/>
  <c r="D83" i="1"/>
  <c r="D88" i="1" s="1"/>
  <c r="C48" i="9"/>
  <c r="C50" i="9" s="1"/>
  <c r="C12" i="4"/>
  <c r="D26" i="9"/>
  <c r="E64" i="13"/>
  <c r="E60" i="13"/>
  <c r="E57" i="13"/>
  <c r="E52" i="13"/>
  <c r="E47" i="13"/>
  <c r="E43" i="13"/>
  <c r="E39" i="13"/>
  <c r="E65" i="13"/>
  <c r="E61" i="13"/>
  <c r="E53" i="13"/>
  <c r="E48" i="13"/>
  <c r="E44" i="13"/>
  <c r="E66" i="13"/>
  <c r="E62" i="13"/>
  <c r="E58" i="13"/>
  <c r="E54" i="13"/>
  <c r="E49" i="13"/>
  <c r="E45" i="13"/>
  <c r="E41" i="13"/>
  <c r="E37" i="13"/>
  <c r="E63" i="13"/>
  <c r="E46" i="13"/>
  <c r="E33" i="13"/>
  <c r="E51" i="13"/>
  <c r="E36" i="13"/>
  <c r="E34" i="13"/>
  <c r="E30" i="13"/>
  <c r="E55" i="13"/>
  <c r="E38" i="13"/>
  <c r="E35" i="13"/>
  <c r="E31" i="13"/>
  <c r="E40" i="13"/>
  <c r="E32" i="13"/>
  <c r="E59" i="13"/>
  <c r="E42" i="13"/>
  <c r="C15" i="2" l="1"/>
  <c r="C16" i="2" s="1"/>
  <c r="C22" i="2" s="1"/>
  <c r="C56" i="2" s="1"/>
  <c r="F11" i="2" s="1"/>
  <c r="F16" i="2" s="1"/>
  <c r="C15" i="3"/>
  <c r="C26" i="3" s="1"/>
  <c r="C30" i="3" s="1"/>
  <c r="D26" i="6"/>
  <c r="D29" i="6" s="1"/>
  <c r="G29" i="6" s="1"/>
  <c r="D51" i="13"/>
  <c r="N51" i="13" s="1"/>
  <c r="D56" i="13"/>
  <c r="F56" i="13" s="1"/>
  <c r="D29" i="13"/>
  <c r="M29" i="13" s="1"/>
  <c r="D50" i="13"/>
  <c r="N50" i="13" s="1"/>
  <c r="P29" i="13"/>
  <c r="Q50" i="13"/>
  <c r="E21" i="8"/>
  <c r="D34" i="13"/>
  <c r="M34" i="13" s="1"/>
  <c r="D37" i="13"/>
  <c r="M37" i="13" s="1"/>
  <c r="D61" i="13"/>
  <c r="M61" i="13" s="1"/>
  <c r="E27" i="8"/>
  <c r="D43" i="13"/>
  <c r="M43" i="13" s="1"/>
  <c r="D31" i="13"/>
  <c r="M31" i="13" s="1"/>
  <c r="D58" i="13"/>
  <c r="M58" i="13" s="1"/>
  <c r="D38" i="13"/>
  <c r="M38" i="13" s="1"/>
  <c r="D49" i="13"/>
  <c r="N49" i="13" s="1"/>
  <c r="D54" i="13"/>
  <c r="N54" i="13" s="1"/>
  <c r="D46" i="13"/>
  <c r="M46" i="13" s="1"/>
  <c r="D35" i="13"/>
  <c r="M35" i="13" s="1"/>
  <c r="D66" i="13"/>
  <c r="M66" i="13" s="1"/>
  <c r="D45" i="13"/>
  <c r="M45" i="13" s="1"/>
  <c r="D40" i="13"/>
  <c r="M40" i="13" s="1"/>
  <c r="D52" i="13"/>
  <c r="N52" i="13" s="1"/>
  <c r="D55" i="13"/>
  <c r="M55" i="13" s="1"/>
  <c r="D39" i="13"/>
  <c r="M39" i="13" s="1"/>
  <c r="D30" i="13"/>
  <c r="M30" i="13" s="1"/>
  <c r="D33" i="13"/>
  <c r="M33" i="13" s="1"/>
  <c r="D48" i="13"/>
  <c r="M48" i="13" s="1"/>
  <c r="D60" i="13"/>
  <c r="M60" i="13" s="1"/>
  <c r="D63" i="13"/>
  <c r="M63" i="13" s="1"/>
  <c r="D62" i="13"/>
  <c r="M62" i="13" s="1"/>
  <c r="D32" i="13"/>
  <c r="M32" i="13" s="1"/>
  <c r="D44" i="13"/>
  <c r="M44" i="13" s="1"/>
  <c r="D65" i="13"/>
  <c r="M65" i="13" s="1"/>
  <c r="D57" i="13"/>
  <c r="F57" i="13" s="1"/>
  <c r="D42" i="13"/>
  <c r="M42" i="13" s="1"/>
  <c r="D59" i="13"/>
  <c r="M59" i="13" s="1"/>
  <c r="D41" i="13"/>
  <c r="M41" i="13" s="1"/>
  <c r="D36" i="13"/>
  <c r="M36" i="13" s="1"/>
  <c r="D53" i="13"/>
  <c r="N53" i="13" s="1"/>
  <c r="D47" i="13"/>
  <c r="M47" i="13" s="1"/>
  <c r="D64" i="13"/>
  <c r="M64" i="13" s="1"/>
  <c r="P35" i="13"/>
  <c r="P62" i="13"/>
  <c r="C16" i="3"/>
  <c r="C22" i="3" s="1"/>
  <c r="P38" i="13"/>
  <c r="P63" i="13"/>
  <c r="P47" i="13"/>
  <c r="P59" i="13"/>
  <c r="P34" i="13"/>
  <c r="P45" i="13"/>
  <c r="Q53" i="13"/>
  <c r="P60" i="13"/>
  <c r="P32" i="13"/>
  <c r="P36" i="13"/>
  <c r="Q49" i="13"/>
  <c r="P61" i="13"/>
  <c r="P64" i="13"/>
  <c r="P40" i="13"/>
  <c r="P55" i="13"/>
  <c r="Q51" i="13"/>
  <c r="P37" i="13"/>
  <c r="Q54" i="13"/>
  <c r="P44" i="13"/>
  <c r="P65" i="13"/>
  <c r="Q52" i="13"/>
  <c r="P46" i="13"/>
  <c r="P43" i="13"/>
  <c r="P66" i="13"/>
  <c r="P42" i="13"/>
  <c r="P31" i="13"/>
  <c r="P30" i="13"/>
  <c r="P33" i="13"/>
  <c r="P41" i="13"/>
  <c r="P58" i="13"/>
  <c r="P48" i="13"/>
  <c r="P39" i="13"/>
  <c r="F34" i="13" l="1"/>
  <c r="F51" i="13"/>
  <c r="G26" i="6"/>
  <c r="V51" i="13"/>
  <c r="X51" i="13" s="1"/>
  <c r="F59" i="13"/>
  <c r="F43" i="13"/>
  <c r="V29" i="13"/>
  <c r="X29" i="13" s="1"/>
  <c r="F49" i="13"/>
  <c r="F42" i="13"/>
  <c r="V43" i="13"/>
  <c r="X43" i="13" s="1"/>
  <c r="V34" i="13"/>
  <c r="X34" i="13" s="1"/>
  <c r="F56" i="2"/>
  <c r="D249" i="1"/>
  <c r="F50" i="13"/>
  <c r="F29" i="13"/>
  <c r="F37" i="13"/>
  <c r="V50" i="13"/>
  <c r="F58" i="13"/>
  <c r="V58" i="13"/>
  <c r="X58" i="13" s="1"/>
  <c r="F61" i="13"/>
  <c r="V37" i="13"/>
  <c r="X37" i="13" s="1"/>
  <c r="V54" i="13"/>
  <c r="X54" i="13" s="1"/>
  <c r="V46" i="13"/>
  <c r="X46" i="13" s="1"/>
  <c r="V33" i="13"/>
  <c r="X33" i="13" s="1"/>
  <c r="F46" i="13"/>
  <c r="V61" i="13"/>
  <c r="X61" i="13" s="1"/>
  <c r="V36" i="13"/>
  <c r="X36" i="13" s="1"/>
  <c r="F54" i="13"/>
  <c r="V45" i="13"/>
  <c r="X45" i="13" s="1"/>
  <c r="V31" i="13"/>
  <c r="X31" i="13" s="1"/>
  <c r="V44" i="13"/>
  <c r="X44" i="13" s="1"/>
  <c r="V32" i="13"/>
  <c r="X32" i="13" s="1"/>
  <c r="V47" i="13"/>
  <c r="X47" i="13" s="1"/>
  <c r="N70" i="13"/>
  <c r="E23" i="7" s="1"/>
  <c r="F39" i="13"/>
  <c r="F31" i="13"/>
  <c r="F66" i="13"/>
  <c r="F44" i="13"/>
  <c r="V42" i="13"/>
  <c r="X42" i="13" s="1"/>
  <c r="F55" i="13"/>
  <c r="V48" i="13"/>
  <c r="X48" i="13" s="1"/>
  <c r="F52" i="13"/>
  <c r="V55" i="13"/>
  <c r="X55" i="13" s="1"/>
  <c r="F36" i="13"/>
  <c r="V53" i="13"/>
  <c r="X53" i="13" s="1"/>
  <c r="F38" i="13"/>
  <c r="V62" i="13"/>
  <c r="X62" i="13" s="1"/>
  <c r="F48" i="13"/>
  <c r="F33" i="13"/>
  <c r="V66" i="13"/>
  <c r="X66" i="13" s="1"/>
  <c r="V52" i="13"/>
  <c r="X52" i="13" s="1"/>
  <c r="F32" i="13"/>
  <c r="V38" i="13"/>
  <c r="X38" i="13" s="1"/>
  <c r="V35" i="13"/>
  <c r="X35" i="13" s="1"/>
  <c r="F64" i="13"/>
  <c r="F35" i="13"/>
  <c r="M70" i="13"/>
  <c r="D23" i="7" s="1"/>
  <c r="V65" i="13"/>
  <c r="X65" i="13" s="1"/>
  <c r="V59" i="13"/>
  <c r="X59" i="13" s="1"/>
  <c r="V60" i="13"/>
  <c r="X60" i="13" s="1"/>
  <c r="V39" i="13"/>
  <c r="X39" i="13" s="1"/>
  <c r="V40" i="13"/>
  <c r="X40" i="13" s="1"/>
  <c r="F60" i="13"/>
  <c r="F45" i="13"/>
  <c r="V63" i="13"/>
  <c r="X63" i="13" s="1"/>
  <c r="F63" i="13"/>
  <c r="V30" i="13"/>
  <c r="X30" i="13" s="1"/>
  <c r="F30" i="13"/>
  <c r="F40" i="13"/>
  <c r="F47" i="13"/>
  <c r="F65" i="13"/>
  <c r="V41" i="13"/>
  <c r="X41" i="13" s="1"/>
  <c r="F41" i="13"/>
  <c r="V64" i="13"/>
  <c r="X64" i="13" s="1"/>
  <c r="F53" i="13"/>
  <c r="F62" i="13"/>
  <c r="C56" i="3"/>
  <c r="Q70" i="13"/>
  <c r="E21" i="7" s="1"/>
  <c r="E31" i="7" s="1"/>
  <c r="C11" i="4" s="1"/>
  <c r="P70" i="13"/>
  <c r="D21" i="7" s="1"/>
  <c r="V49" i="13"/>
  <c r="X49" i="13" s="1"/>
  <c r="C60" i="3" l="1"/>
  <c r="H56" i="3"/>
  <c r="F23" i="7"/>
  <c r="V70" i="13"/>
  <c r="X70" i="13" s="1"/>
  <c r="F21" i="7"/>
  <c r="D149" i="1" s="1"/>
  <c r="F24" i="12"/>
  <c r="F26" i="12" s="1"/>
  <c r="D29" i="7" s="1"/>
  <c r="F29" i="7" s="1"/>
  <c r="D152" i="1" s="1"/>
  <c r="D158" i="1" l="1"/>
  <c r="D31" i="7"/>
  <c r="C10" i="4" s="1"/>
  <c r="C15" i="4" s="1"/>
  <c r="C16" i="4" s="1"/>
  <c r="C18" i="4" s="1"/>
  <c r="C23" i="4" s="1"/>
  <c r="C28" i="4" s="1"/>
  <c r="C31" i="4" s="1"/>
  <c r="F31" i="7"/>
  <c r="I252" i="1" l="1"/>
  <c r="I22" i="1" l="1"/>
  <c r="I268" i="1" l="1"/>
  <c r="D117" i="1" l="1"/>
  <c r="D120" i="1" s="1"/>
  <c r="I215" i="1"/>
  <c r="G232" i="1"/>
  <c r="G234" i="1"/>
  <c r="G235" i="1"/>
  <c r="G240" i="1"/>
  <c r="I223" i="1"/>
  <c r="D99" i="1"/>
  <c r="D100" i="1"/>
  <c r="D101" i="1"/>
  <c r="D102" i="1"/>
  <c r="G248" i="1"/>
  <c r="D250" i="1"/>
  <c r="E248" i="1" s="1"/>
  <c r="G249" i="1"/>
  <c r="I34" i="1"/>
  <c r="D36" i="1" s="1"/>
  <c r="D15" i="1"/>
  <c r="I157" i="1"/>
  <c r="D178" i="1"/>
  <c r="D182" i="1" s="1"/>
  <c r="D186" i="1" s="1"/>
  <c r="D112" i="1"/>
  <c r="D103" i="1"/>
  <c r="D175" i="1"/>
  <c r="D209" i="1"/>
  <c r="K274" i="1"/>
  <c r="I150" i="1"/>
  <c r="F173" i="1"/>
  <c r="F155" i="1"/>
  <c r="D14" i="1"/>
  <c r="I259" i="1"/>
  <c r="F110" i="1"/>
  <c r="D276" i="1"/>
  <c r="D275" i="1"/>
  <c r="C274" i="1"/>
  <c r="B274" i="1"/>
  <c r="D208" i="1"/>
  <c r="K208" i="1"/>
  <c r="B208" i="1"/>
  <c r="K141" i="1"/>
  <c r="D142" i="1"/>
  <c r="D141" i="1"/>
  <c r="B141" i="1"/>
  <c r="K75" i="1"/>
  <c r="D76" i="1"/>
  <c r="D75" i="1"/>
  <c r="B75" i="1"/>
  <c r="I46" i="1"/>
  <c r="I45" i="1"/>
  <c r="F92" i="1"/>
  <c r="F114" i="1" s="1"/>
  <c r="D211" i="1"/>
  <c r="D144" i="1"/>
  <c r="D78" i="1"/>
  <c r="F169" i="1"/>
  <c r="B163" i="1"/>
  <c r="B161" i="1"/>
  <c r="F153" i="1"/>
  <c r="F154" i="1" s="1"/>
  <c r="B95" i="1"/>
  <c r="B103" i="1" s="1"/>
  <c r="B94" i="1"/>
  <c r="B102" i="1" s="1"/>
  <c r="B93" i="1"/>
  <c r="B101" i="1" s="1"/>
  <c r="B92" i="1"/>
  <c r="B100" i="1" s="1"/>
  <c r="B91" i="1"/>
  <c r="B99" i="1" s="1"/>
  <c r="F95" i="1"/>
  <c r="F94" i="1"/>
  <c r="G93" i="1"/>
  <c r="F93" i="1"/>
  <c r="G91" i="1"/>
  <c r="F91" i="1"/>
  <c r="F15" i="1"/>
  <c r="I218" i="1" l="1"/>
  <c r="E249" i="1"/>
  <c r="I249" i="1" s="1"/>
  <c r="D104" i="1"/>
  <c r="D122" i="1" s="1"/>
  <c r="I42" i="1"/>
  <c r="D42" i="1"/>
  <c r="I41" i="1"/>
  <c r="D41" i="1"/>
  <c r="D40" i="1"/>
  <c r="D37" i="1"/>
  <c r="I40" i="1"/>
  <c r="I225" i="1"/>
  <c r="I248" i="1"/>
  <c r="I227" i="1" l="1"/>
  <c r="I220" i="1"/>
  <c r="G84" i="1" s="1"/>
  <c r="E250" i="1"/>
  <c r="I250" i="1"/>
  <c r="D189" i="1" s="1"/>
  <c r="G14" i="1" l="1"/>
  <c r="G16" i="1" s="1"/>
  <c r="I16" i="1" s="1"/>
  <c r="E233" i="1"/>
  <c r="G233" i="1" s="1"/>
  <c r="G236" i="1" s="1"/>
  <c r="I228" i="1"/>
  <c r="I229" i="1" s="1"/>
  <c r="G118" i="1" s="1"/>
  <c r="I118" i="1" s="1"/>
  <c r="D179" i="1"/>
  <c r="I253" i="1"/>
  <c r="G92" i="1"/>
  <c r="I84" i="1"/>
  <c r="G149" i="1" l="1"/>
  <c r="G155" i="1" s="1"/>
  <c r="I155" i="1" s="1"/>
  <c r="I14" i="1"/>
  <c r="G17" i="1"/>
  <c r="I17" i="1" s="1"/>
  <c r="G15" i="1"/>
  <c r="I15" i="1" s="1"/>
  <c r="I236" i="1"/>
  <c r="D185" i="1"/>
  <c r="D187" i="1" s="1"/>
  <c r="D192" i="1" s="1"/>
  <c r="D201" i="1" s="1"/>
  <c r="I92" i="1"/>
  <c r="G114" i="1"/>
  <c r="G151" i="1" l="1"/>
  <c r="I151" i="1" s="1"/>
  <c r="I149" i="1"/>
  <c r="I18" i="1"/>
  <c r="I100" i="1"/>
  <c r="G86" i="1"/>
  <c r="G154" i="1"/>
  <c r="I154" i="1" s="1"/>
  <c r="I240" i="1"/>
  <c r="K240" i="1" s="1"/>
  <c r="G153" i="1"/>
  <c r="I153" i="1" s="1"/>
  <c r="G152" i="1"/>
  <c r="G161" i="1"/>
  <c r="I161" i="1" s="1"/>
  <c r="I114" i="1"/>
  <c r="I152" i="1" l="1"/>
  <c r="G162" i="1"/>
  <c r="G94" i="1"/>
  <c r="I94" i="1" s="1"/>
  <c r="I86" i="1"/>
  <c r="G87" i="1"/>
  <c r="G156" i="1"/>
  <c r="G163" i="1" l="1"/>
  <c r="I163" i="1" s="1"/>
  <c r="I156" i="1"/>
  <c r="I102" i="1"/>
  <c r="G168" i="1"/>
  <c r="I162" i="1"/>
  <c r="I87" i="1"/>
  <c r="G95" i="1"/>
  <c r="I95" i="1" s="1"/>
  <c r="I164" i="1" l="1"/>
  <c r="I168" i="1"/>
  <c r="G169" i="1"/>
  <c r="I169" i="1" s="1"/>
  <c r="I103" i="1"/>
  <c r="I158" i="1"/>
  <c r="I96" i="1"/>
  <c r="I88" i="1"/>
  <c r="I117" i="1" l="1"/>
  <c r="I104" i="1"/>
  <c r="G88" i="1"/>
  <c r="G104" i="1" l="1"/>
  <c r="G119" i="1"/>
  <c r="I119" i="1" s="1"/>
  <c r="G171" i="1"/>
  <c r="I171" i="1" l="1"/>
  <c r="G173" i="1"/>
  <c r="I120" i="1"/>
  <c r="G186" i="1"/>
  <c r="I186" i="1" s="1"/>
  <c r="G108" i="1"/>
  <c r="G174" i="1" l="1"/>
  <c r="I174" i="1" s="1"/>
  <c r="I173" i="1"/>
  <c r="I108" i="1"/>
  <c r="G109" i="1"/>
  <c r="I175" i="1" l="1"/>
  <c r="G111" i="1"/>
  <c r="I111" i="1" s="1"/>
  <c r="G110" i="1"/>
  <c r="I110" i="1" s="1"/>
  <c r="I109" i="1"/>
  <c r="I112" i="1" l="1"/>
  <c r="I122" i="1" l="1"/>
  <c r="I189" i="1" l="1"/>
  <c r="I185" i="1" l="1"/>
  <c r="I187" i="1" l="1"/>
  <c r="I192" i="1" l="1"/>
  <c r="I201" i="1" l="1"/>
  <c r="I11" i="1" l="1"/>
  <c r="I24" i="1" l="1"/>
</calcChain>
</file>

<file path=xl/comments1.xml><?xml version="1.0" encoding="utf-8"?>
<comments xmlns="http://schemas.openxmlformats.org/spreadsheetml/2006/main">
  <authors>
    <author>Patrick Brin</author>
  </authors>
  <commentList>
    <comment ref="F11" authorId="0" shapeId="0">
      <text>
        <r>
          <rPr>
            <b/>
            <sz val="9"/>
            <color indexed="81"/>
            <rFont val="Tahoma"/>
            <family val="2"/>
          </rPr>
          <t>Patrick Brin:</t>
        </r>
        <r>
          <rPr>
            <sz val="9"/>
            <color indexed="81"/>
            <rFont val="Tahoma"/>
            <family val="2"/>
          </rPr>
          <t xml:space="preserve">
Computed as the difference between total assets less all remaining liabilities.</t>
        </r>
      </text>
    </comment>
    <comment ref="F12" authorId="0" shapeId="0">
      <text>
        <r>
          <rPr>
            <b/>
            <sz val="9"/>
            <color indexed="81"/>
            <rFont val="Tahoma"/>
            <family val="2"/>
          </rPr>
          <t>Patrick Brin:</t>
        </r>
        <r>
          <rPr>
            <sz val="9"/>
            <color indexed="81"/>
            <rFont val="Tahoma"/>
            <family val="2"/>
          </rPr>
          <t xml:space="preserve">
Allocated based on ratio of total electric to total utility.
</t>
        </r>
      </text>
    </comment>
    <comment ref="F15" authorId="0" shapeId="0">
      <text>
        <r>
          <rPr>
            <b/>
            <sz val="9"/>
            <color indexed="81"/>
            <rFont val="Tahoma"/>
            <family val="2"/>
          </rPr>
          <t>Patrick Brin:</t>
        </r>
        <r>
          <rPr>
            <sz val="9"/>
            <color indexed="81"/>
            <rFont val="Tahoma"/>
            <family val="2"/>
          </rPr>
          <t xml:space="preserve">
Allocated based on ratio of total electric to total utility.
</t>
        </r>
      </text>
    </comment>
    <comment ref="F20" authorId="0" shapeId="0">
      <text>
        <r>
          <rPr>
            <b/>
            <sz val="9"/>
            <color indexed="81"/>
            <rFont val="Tahoma"/>
            <family val="2"/>
          </rPr>
          <t>Patrick Brin:</t>
        </r>
        <r>
          <rPr>
            <sz val="9"/>
            <color indexed="81"/>
            <rFont val="Tahoma"/>
            <family val="2"/>
          </rPr>
          <t xml:space="preserve">
Allocated based on ratio of total electric to total utility.
</t>
        </r>
      </text>
    </comment>
    <comment ref="C24" authorId="0" shapeId="0">
      <text>
        <r>
          <rPr>
            <b/>
            <sz val="9"/>
            <color indexed="81"/>
            <rFont val="Tahoma"/>
            <family val="2"/>
          </rPr>
          <t>Patrick Brin:</t>
        </r>
        <r>
          <rPr>
            <sz val="9"/>
            <color indexed="81"/>
            <rFont val="Tahoma"/>
            <family val="2"/>
          </rPr>
          <t xml:space="preserve">
Includes General and Intangible Plant
</t>
        </r>
      </text>
    </comment>
    <comment ref="C26" authorId="0" shapeId="0">
      <text>
        <r>
          <rPr>
            <b/>
            <sz val="9"/>
            <color indexed="81"/>
            <rFont val="Tahoma"/>
            <family val="2"/>
          </rPr>
          <t>Patrick Brin:</t>
        </r>
        <r>
          <rPr>
            <sz val="9"/>
            <color indexed="81"/>
            <rFont val="Tahoma"/>
            <family val="2"/>
          </rPr>
          <t xml:space="preserve">
Includes General and Intangible Plant
</t>
        </r>
      </text>
    </comment>
    <comment ref="C28" authorId="0" shapeId="0">
      <text>
        <r>
          <rPr>
            <b/>
            <sz val="9"/>
            <color indexed="81"/>
            <rFont val="Tahoma"/>
            <family val="2"/>
          </rPr>
          <t>Patrick Brin:</t>
        </r>
        <r>
          <rPr>
            <sz val="9"/>
            <color indexed="81"/>
            <rFont val="Tahoma"/>
            <family val="2"/>
          </rPr>
          <t xml:space="preserve">
Allocated based on ratio of total electric to total utility.
</t>
        </r>
      </text>
    </comment>
    <comment ref="C29" authorId="0" shapeId="0">
      <text>
        <r>
          <rPr>
            <b/>
            <sz val="9"/>
            <color indexed="81"/>
            <rFont val="Tahoma"/>
            <family val="2"/>
          </rPr>
          <t>Patrick Brin:</t>
        </r>
        <r>
          <rPr>
            <sz val="9"/>
            <color indexed="81"/>
            <rFont val="Tahoma"/>
            <family val="2"/>
          </rPr>
          <t xml:space="preserve">
Allocated based on ratio of total electric to total utility.
</t>
        </r>
      </text>
    </comment>
    <comment ref="F31" authorId="0" shapeId="0">
      <text>
        <r>
          <rPr>
            <b/>
            <sz val="9"/>
            <color indexed="81"/>
            <rFont val="Tahoma"/>
            <family val="2"/>
          </rPr>
          <t>Patrick Brin:</t>
        </r>
        <r>
          <rPr>
            <sz val="9"/>
            <color indexed="81"/>
            <rFont val="Tahoma"/>
            <family val="2"/>
          </rPr>
          <t xml:space="preserve">
Allocated based on ratio of total electric to total utility.
</t>
        </r>
      </text>
    </comment>
    <comment ref="C33" authorId="0" shapeId="0">
      <text>
        <r>
          <rPr>
            <b/>
            <sz val="9"/>
            <color indexed="81"/>
            <rFont val="Tahoma"/>
            <family val="2"/>
          </rPr>
          <t>Patrick Brin:</t>
        </r>
        <r>
          <rPr>
            <sz val="9"/>
            <color indexed="81"/>
            <rFont val="Tahoma"/>
            <family val="2"/>
          </rPr>
          <t xml:space="preserve">
Allocated based on ratio of total electric to total utility.
</t>
        </r>
      </text>
    </comment>
    <comment ref="C35" authorId="0" shapeId="0">
      <text>
        <r>
          <rPr>
            <b/>
            <sz val="9"/>
            <color indexed="81"/>
            <rFont val="Tahoma"/>
            <family val="2"/>
          </rPr>
          <t>Patrick Brin:</t>
        </r>
        <r>
          <rPr>
            <sz val="9"/>
            <color indexed="81"/>
            <rFont val="Tahoma"/>
            <family val="2"/>
          </rPr>
          <t xml:space="preserve">
Allocated based on ratio of total electric to total utility.
</t>
        </r>
      </text>
    </comment>
    <comment ref="C36" authorId="0" shapeId="0">
      <text>
        <r>
          <rPr>
            <b/>
            <sz val="9"/>
            <color indexed="81"/>
            <rFont val="Tahoma"/>
            <family val="2"/>
          </rPr>
          <t>Patrick Brin:</t>
        </r>
        <r>
          <rPr>
            <sz val="9"/>
            <color indexed="81"/>
            <rFont val="Tahoma"/>
            <family val="2"/>
          </rPr>
          <t xml:space="preserve">
Allocated based on ratio of total electric to total utility.
</t>
        </r>
      </text>
    </comment>
    <comment ref="F36" authorId="0" shapeId="0">
      <text>
        <r>
          <rPr>
            <b/>
            <sz val="9"/>
            <color indexed="81"/>
            <rFont val="Tahoma"/>
            <family val="2"/>
          </rPr>
          <t>Patrick Brin:</t>
        </r>
        <r>
          <rPr>
            <sz val="9"/>
            <color indexed="81"/>
            <rFont val="Tahoma"/>
            <family val="2"/>
          </rPr>
          <t xml:space="preserve">
Allocated based on ratio of total electric to total utility.
</t>
        </r>
      </text>
    </comment>
    <comment ref="F38" authorId="0" shapeId="0">
      <text>
        <r>
          <rPr>
            <b/>
            <sz val="9"/>
            <color indexed="81"/>
            <rFont val="Tahoma"/>
            <family val="2"/>
          </rPr>
          <t>Patrick Brin:</t>
        </r>
        <r>
          <rPr>
            <sz val="9"/>
            <color indexed="81"/>
            <rFont val="Tahoma"/>
            <family val="2"/>
          </rPr>
          <t xml:space="preserve">
Allocated based on ratio of total electric to total utility.
</t>
        </r>
      </text>
    </comment>
    <comment ref="F40" authorId="0" shapeId="0">
      <text>
        <r>
          <rPr>
            <b/>
            <sz val="9"/>
            <color indexed="81"/>
            <rFont val="Tahoma"/>
            <family val="2"/>
          </rPr>
          <t>Patrick Brin:</t>
        </r>
        <r>
          <rPr>
            <sz val="9"/>
            <color indexed="81"/>
            <rFont val="Tahoma"/>
            <family val="2"/>
          </rPr>
          <t xml:space="preserve">
Allocated based on ratio of total electric to total utility.
</t>
        </r>
      </text>
    </comment>
    <comment ref="C41" authorId="0" shapeId="0">
      <text>
        <r>
          <rPr>
            <b/>
            <sz val="9"/>
            <color indexed="81"/>
            <rFont val="Tahoma"/>
            <family val="2"/>
          </rPr>
          <t>Patrick Brin:</t>
        </r>
        <r>
          <rPr>
            <sz val="9"/>
            <color indexed="81"/>
            <rFont val="Tahoma"/>
            <family val="2"/>
          </rPr>
          <t xml:space="preserve">
Allocated based on ratio of total electric to total utility.
</t>
        </r>
      </text>
    </comment>
    <comment ref="F41" authorId="0" shapeId="0">
      <text>
        <r>
          <rPr>
            <b/>
            <sz val="9"/>
            <color indexed="81"/>
            <rFont val="Tahoma"/>
            <family val="2"/>
          </rPr>
          <t>Patrick Brin:</t>
        </r>
        <r>
          <rPr>
            <sz val="9"/>
            <color indexed="81"/>
            <rFont val="Tahoma"/>
            <family val="2"/>
          </rPr>
          <t xml:space="preserve">
Allocated based on ratio of total electric to total utility.
</t>
        </r>
      </text>
    </comment>
    <comment ref="F43" authorId="0" shapeId="0">
      <text>
        <r>
          <rPr>
            <b/>
            <sz val="9"/>
            <color indexed="81"/>
            <rFont val="Tahoma"/>
            <family val="2"/>
          </rPr>
          <t>Patrick Brin:</t>
        </r>
        <r>
          <rPr>
            <sz val="9"/>
            <color indexed="81"/>
            <rFont val="Tahoma"/>
            <family val="2"/>
          </rPr>
          <t xml:space="preserve">
Allocated based on ratio of total electric to total utility.
</t>
        </r>
      </text>
    </comment>
    <comment ref="F44" authorId="0" shapeId="0">
      <text>
        <r>
          <rPr>
            <b/>
            <sz val="9"/>
            <color indexed="81"/>
            <rFont val="Tahoma"/>
            <family val="2"/>
          </rPr>
          <t>Patrick Brin:</t>
        </r>
        <r>
          <rPr>
            <sz val="9"/>
            <color indexed="81"/>
            <rFont val="Tahoma"/>
            <family val="2"/>
          </rPr>
          <t xml:space="preserve">
Allocated based on ratio of total electric to total utility.
</t>
        </r>
      </text>
    </comment>
    <comment ref="C48" authorId="0" shapeId="0">
      <text>
        <r>
          <rPr>
            <b/>
            <sz val="9"/>
            <color indexed="81"/>
            <rFont val="Tahoma"/>
            <family val="2"/>
          </rPr>
          <t>Patrick Brin:</t>
        </r>
        <r>
          <rPr>
            <sz val="9"/>
            <color indexed="81"/>
            <rFont val="Tahoma"/>
            <family val="2"/>
          </rPr>
          <t xml:space="preserve">
Allocated based on ratio of total electric to total utility.
</t>
        </r>
      </text>
    </comment>
    <comment ref="F50" authorId="0" shapeId="0">
      <text>
        <r>
          <rPr>
            <b/>
            <sz val="9"/>
            <color indexed="81"/>
            <rFont val="Tahoma"/>
            <family val="2"/>
          </rPr>
          <t>Patrick Brin:</t>
        </r>
        <r>
          <rPr>
            <sz val="9"/>
            <color indexed="81"/>
            <rFont val="Tahoma"/>
            <family val="2"/>
          </rPr>
          <t xml:space="preserve">
Allocated based on ratio of total electric to total utility.
</t>
        </r>
      </text>
    </comment>
    <comment ref="C53" authorId="0" shapeId="0">
      <text>
        <r>
          <rPr>
            <b/>
            <sz val="9"/>
            <color indexed="81"/>
            <rFont val="Tahoma"/>
            <family val="2"/>
          </rPr>
          <t>Patrick Brin:</t>
        </r>
        <r>
          <rPr>
            <sz val="9"/>
            <color indexed="81"/>
            <rFont val="Tahoma"/>
            <family val="2"/>
          </rPr>
          <t xml:space="preserve">
Allocated based on ratio of total electric to total utility.</t>
        </r>
      </text>
    </comment>
  </commentList>
</comments>
</file>

<file path=xl/comments2.xml><?xml version="1.0" encoding="utf-8"?>
<comments xmlns="http://schemas.openxmlformats.org/spreadsheetml/2006/main">
  <authors>
    <author>Patrick Brin</author>
  </authors>
  <commentList>
    <comment ref="F11" authorId="0" shapeId="0">
      <text>
        <r>
          <rPr>
            <b/>
            <sz val="9"/>
            <color indexed="81"/>
            <rFont val="Tahoma"/>
            <family val="2"/>
          </rPr>
          <t>Patrick Brin:</t>
        </r>
        <r>
          <rPr>
            <sz val="9"/>
            <color indexed="81"/>
            <rFont val="Tahoma"/>
            <family val="2"/>
          </rPr>
          <t xml:space="preserve">
Per Exhibit G of Financial Report</t>
        </r>
      </text>
    </comment>
    <comment ref="F12" authorId="0" shapeId="0">
      <text>
        <r>
          <rPr>
            <b/>
            <sz val="9"/>
            <color indexed="81"/>
            <rFont val="Tahoma"/>
            <family val="2"/>
          </rPr>
          <t>Patrick Brin:</t>
        </r>
        <r>
          <rPr>
            <sz val="9"/>
            <color indexed="81"/>
            <rFont val="Tahoma"/>
            <family val="2"/>
          </rPr>
          <t xml:space="preserve">
Per Exhibit G of Financial Report.  Includes restricted for debt service and capital additions and contingencies.
</t>
        </r>
      </text>
    </comment>
    <comment ref="F15" authorId="0" shapeId="0">
      <text>
        <r>
          <rPr>
            <b/>
            <sz val="9"/>
            <color indexed="81"/>
            <rFont val="Tahoma"/>
            <family val="2"/>
          </rPr>
          <t>Patrick Brin:</t>
        </r>
        <r>
          <rPr>
            <sz val="9"/>
            <color indexed="81"/>
            <rFont val="Tahoma"/>
            <family val="2"/>
          </rPr>
          <t xml:space="preserve">
Per Exhibit G of Financial Report</t>
        </r>
      </text>
    </comment>
    <comment ref="F20" authorId="0" shapeId="0">
      <text>
        <r>
          <rPr>
            <b/>
            <sz val="9"/>
            <color indexed="81"/>
            <rFont val="Tahoma"/>
            <family val="2"/>
          </rPr>
          <t>Patrick Brin:</t>
        </r>
        <r>
          <rPr>
            <sz val="9"/>
            <color indexed="81"/>
            <rFont val="Tahoma"/>
            <family val="2"/>
          </rPr>
          <t xml:space="preserve">
Per Exhibit G of Financial Report.  Includes current and non-current portions.</t>
        </r>
      </text>
    </comment>
    <comment ref="C26" authorId="0" shapeId="0">
      <text>
        <r>
          <rPr>
            <b/>
            <sz val="9"/>
            <color indexed="81"/>
            <rFont val="Tahoma"/>
            <family val="2"/>
          </rPr>
          <t>Patrick Brin:</t>
        </r>
        <r>
          <rPr>
            <sz val="9"/>
            <color indexed="81"/>
            <rFont val="Tahoma"/>
            <family val="2"/>
          </rPr>
          <t xml:space="preserve">
Total utility accumulated depreciation per Exhibit G of Financial Report less electric portion
</t>
        </r>
      </text>
    </comment>
    <comment ref="C28" authorId="0" shapeId="0">
      <text>
        <r>
          <rPr>
            <b/>
            <sz val="9"/>
            <color indexed="81"/>
            <rFont val="Tahoma"/>
            <family val="2"/>
          </rPr>
          <t>Patrick Brin:</t>
        </r>
        <r>
          <rPr>
            <sz val="9"/>
            <color indexed="81"/>
            <rFont val="Tahoma"/>
            <family val="2"/>
          </rPr>
          <t xml:space="preserve">
Restricted equity in pooled cash and investments per Exhibit G of Financial Report</t>
        </r>
      </text>
    </comment>
    <comment ref="C29" authorId="0" shapeId="0">
      <text>
        <r>
          <rPr>
            <b/>
            <sz val="9"/>
            <color indexed="81"/>
            <rFont val="Tahoma"/>
            <family val="2"/>
          </rPr>
          <t>Patrick Brin:</t>
        </r>
        <r>
          <rPr>
            <sz val="9"/>
            <color indexed="81"/>
            <rFont val="Tahoma"/>
            <family val="2"/>
          </rPr>
          <t xml:space="preserve">
Non-electric related CWIP</t>
        </r>
      </text>
    </comment>
    <comment ref="F31" authorId="0" shapeId="0">
      <text>
        <r>
          <rPr>
            <b/>
            <sz val="9"/>
            <color indexed="81"/>
            <rFont val="Tahoma"/>
            <family val="2"/>
          </rPr>
          <t>Patrick Brin:</t>
        </r>
        <r>
          <rPr>
            <sz val="9"/>
            <color indexed="81"/>
            <rFont val="Tahoma"/>
            <family val="2"/>
          </rPr>
          <t xml:space="preserve">
Per Exhibit G of Financial Report</t>
        </r>
      </text>
    </comment>
    <comment ref="C33" authorId="0" shapeId="0">
      <text>
        <r>
          <rPr>
            <b/>
            <sz val="9"/>
            <color indexed="81"/>
            <rFont val="Tahoma"/>
            <family val="2"/>
          </rPr>
          <t>Patrick Brin:</t>
        </r>
        <r>
          <rPr>
            <sz val="9"/>
            <color indexed="81"/>
            <rFont val="Tahoma"/>
            <family val="2"/>
          </rPr>
          <t xml:space="preserve">
Per Exhibit G of Financial Report.  Includes Cash and equity in pooled cash and investments</t>
        </r>
      </text>
    </comment>
    <comment ref="C35" authorId="0" shapeId="0">
      <text>
        <r>
          <rPr>
            <b/>
            <sz val="9"/>
            <color indexed="81"/>
            <rFont val="Tahoma"/>
            <family val="2"/>
          </rPr>
          <t>Patrick Brin:</t>
        </r>
        <r>
          <rPr>
            <sz val="9"/>
            <color indexed="81"/>
            <rFont val="Tahoma"/>
            <family val="2"/>
          </rPr>
          <t xml:space="preserve">
Per Exhibit G of Financial Report</t>
        </r>
      </text>
    </comment>
    <comment ref="C36" authorId="0" shapeId="0">
      <text>
        <r>
          <rPr>
            <b/>
            <sz val="9"/>
            <color indexed="81"/>
            <rFont val="Tahoma"/>
            <family val="2"/>
          </rPr>
          <t>Patrick Brin:</t>
        </r>
        <r>
          <rPr>
            <sz val="9"/>
            <color indexed="81"/>
            <rFont val="Tahoma"/>
            <family val="2"/>
          </rPr>
          <t xml:space="preserve">
Per Exhibit G of Financial Report.  Includes amounts due from other funds and other governments.</t>
        </r>
      </text>
    </comment>
    <comment ref="F36" authorId="0" shapeId="0">
      <text>
        <r>
          <rPr>
            <b/>
            <sz val="9"/>
            <color indexed="81"/>
            <rFont val="Tahoma"/>
            <family val="2"/>
          </rPr>
          <t>Patrick Brin:</t>
        </r>
        <r>
          <rPr>
            <sz val="9"/>
            <color indexed="81"/>
            <rFont val="Tahoma"/>
            <family val="2"/>
          </rPr>
          <t xml:space="preserve">
Per Exhibit G of Financial Report</t>
        </r>
      </text>
    </comment>
    <comment ref="C38" authorId="0" shapeId="0">
      <text>
        <r>
          <rPr>
            <b/>
            <sz val="9"/>
            <color indexed="81"/>
            <rFont val="Tahoma"/>
            <family val="2"/>
          </rPr>
          <t>Patrick Brin:</t>
        </r>
        <r>
          <rPr>
            <sz val="9"/>
            <color indexed="81"/>
            <rFont val="Tahoma"/>
            <family val="2"/>
          </rPr>
          <t xml:space="preserve">
Reflected in line 14 above.</t>
        </r>
      </text>
    </comment>
    <comment ref="F38" authorId="0" shapeId="0">
      <text>
        <r>
          <rPr>
            <b/>
            <sz val="9"/>
            <color indexed="81"/>
            <rFont val="Tahoma"/>
            <family val="2"/>
          </rPr>
          <t>Patrick Brin:</t>
        </r>
        <r>
          <rPr>
            <sz val="9"/>
            <color indexed="81"/>
            <rFont val="Tahoma"/>
            <family val="2"/>
          </rPr>
          <t xml:space="preserve">
Per Exhibit G of Financial Report.  Includes accounts payable and contracts payable.</t>
        </r>
      </text>
    </comment>
    <comment ref="F40" authorId="0" shapeId="0">
      <text>
        <r>
          <rPr>
            <b/>
            <sz val="9"/>
            <color indexed="81"/>
            <rFont val="Tahoma"/>
            <family val="2"/>
          </rPr>
          <t>Patrick Brin:</t>
        </r>
        <r>
          <rPr>
            <sz val="9"/>
            <color indexed="81"/>
            <rFont val="Tahoma"/>
            <family val="2"/>
          </rPr>
          <t xml:space="preserve">
Per Exhibit G of Financial Report</t>
        </r>
      </text>
    </comment>
    <comment ref="F41" authorId="0" shapeId="0">
      <text>
        <r>
          <rPr>
            <b/>
            <sz val="9"/>
            <color indexed="81"/>
            <rFont val="Tahoma"/>
            <family val="2"/>
          </rPr>
          <t>Patrick Brin:</t>
        </r>
        <r>
          <rPr>
            <sz val="9"/>
            <color indexed="81"/>
            <rFont val="Tahoma"/>
            <family val="2"/>
          </rPr>
          <t xml:space="preserve">
Per Exhibit G of Financial Report</t>
        </r>
      </text>
    </comment>
    <comment ref="F43" authorId="0" shapeId="0">
      <text>
        <r>
          <rPr>
            <b/>
            <sz val="9"/>
            <color indexed="81"/>
            <rFont val="Tahoma"/>
            <family val="2"/>
          </rPr>
          <t>Patrick Brin:</t>
        </r>
        <r>
          <rPr>
            <sz val="9"/>
            <color indexed="81"/>
            <rFont val="Tahoma"/>
            <family val="2"/>
          </rPr>
          <t xml:space="preserve">
Per Exhibit G of Financial Report</t>
        </r>
      </text>
    </comment>
    <comment ref="F44" authorId="0" shapeId="0">
      <text>
        <r>
          <rPr>
            <b/>
            <sz val="9"/>
            <color indexed="81"/>
            <rFont val="Tahoma"/>
            <family val="2"/>
          </rPr>
          <t>Patrick Brin:</t>
        </r>
        <r>
          <rPr>
            <sz val="9"/>
            <color indexed="81"/>
            <rFont val="Tahoma"/>
            <family val="2"/>
          </rPr>
          <t xml:space="preserve">
Per Exhibit G of Financial Report.  Includes salaries payable and compensated absenses.</t>
        </r>
      </text>
    </comment>
    <comment ref="C48" authorId="0" shapeId="0">
      <text>
        <r>
          <rPr>
            <b/>
            <sz val="9"/>
            <color indexed="81"/>
            <rFont val="Tahoma"/>
            <family val="2"/>
          </rPr>
          <t>Patrick Brin:</t>
        </r>
        <r>
          <rPr>
            <sz val="9"/>
            <color indexed="81"/>
            <rFont val="Tahoma"/>
            <family val="2"/>
          </rPr>
          <t xml:space="preserve">
Per Exhibit G of Financial Report.</t>
        </r>
      </text>
    </comment>
    <comment ref="F50" authorId="0" shapeId="0">
      <text>
        <r>
          <rPr>
            <b/>
            <sz val="9"/>
            <color indexed="81"/>
            <rFont val="Tahoma"/>
            <family val="2"/>
          </rPr>
          <t>Patrick Brin:</t>
        </r>
        <r>
          <rPr>
            <sz val="9"/>
            <color indexed="81"/>
            <rFont val="Tahoma"/>
            <family val="2"/>
          </rPr>
          <t xml:space="preserve">
Reflected deferred inflows related to pensions from Exhibit G of Fincancial Report.</t>
        </r>
      </text>
    </comment>
    <comment ref="C53" authorId="0" shapeId="0">
      <text>
        <r>
          <rPr>
            <b/>
            <sz val="9"/>
            <color indexed="81"/>
            <rFont val="Tahoma"/>
            <family val="2"/>
          </rPr>
          <t>Patrick Brin:</t>
        </r>
        <r>
          <rPr>
            <sz val="9"/>
            <color indexed="81"/>
            <rFont val="Tahoma"/>
            <family val="2"/>
          </rPr>
          <t xml:space="preserve">
Reflected deferred outflows related to pensions from Exhibit G of Fincancial Report.</t>
        </r>
      </text>
    </comment>
  </commentList>
</comments>
</file>

<file path=xl/comments3.xml><?xml version="1.0" encoding="utf-8"?>
<comments xmlns="http://schemas.openxmlformats.org/spreadsheetml/2006/main">
  <authors>
    <author>Patrick Brin</author>
  </authors>
  <commentList>
    <comment ref="C9" authorId="0" shapeId="0">
      <text>
        <r>
          <rPr>
            <b/>
            <sz val="9"/>
            <color indexed="81"/>
            <rFont val="Tahoma"/>
            <family val="2"/>
          </rPr>
          <t>Patrick Brin:</t>
        </r>
        <r>
          <rPr>
            <sz val="9"/>
            <color indexed="81"/>
            <rFont val="Tahoma"/>
            <family val="2"/>
          </rPr>
          <t xml:space="preserve">
Per accounting.</t>
        </r>
      </text>
    </comment>
    <comment ref="C10" authorId="0" shapeId="0">
      <text>
        <r>
          <rPr>
            <b/>
            <sz val="9"/>
            <color indexed="81"/>
            <rFont val="Tahoma"/>
            <family val="2"/>
          </rPr>
          <t>Patrick Brin:</t>
        </r>
        <r>
          <rPr>
            <sz val="9"/>
            <color indexed="81"/>
            <rFont val="Tahoma"/>
            <family val="2"/>
          </rPr>
          <t xml:space="preserve">
Per EIA 412 Sch 7</t>
        </r>
      </text>
    </comment>
    <comment ref="C11" authorId="0" shapeId="0">
      <text>
        <r>
          <rPr>
            <b/>
            <sz val="9"/>
            <color indexed="81"/>
            <rFont val="Tahoma"/>
            <family val="2"/>
          </rPr>
          <t>Patrick Brin:</t>
        </r>
        <r>
          <rPr>
            <sz val="9"/>
            <color indexed="81"/>
            <rFont val="Tahoma"/>
            <family val="2"/>
          </rPr>
          <t xml:space="preserve">
Per EIA 412 Sch 7</t>
        </r>
      </text>
    </comment>
    <comment ref="C12" authorId="0" shapeId="0">
      <text>
        <r>
          <rPr>
            <b/>
            <sz val="9"/>
            <color indexed="81"/>
            <rFont val="Tahoma"/>
            <family val="2"/>
          </rPr>
          <t>Patrick Brin:</t>
        </r>
        <r>
          <rPr>
            <sz val="9"/>
            <color indexed="81"/>
            <rFont val="Tahoma"/>
            <family val="2"/>
          </rPr>
          <t xml:space="preserve">
Per Electric Utility Fund workpaper.</t>
        </r>
      </text>
    </comment>
    <comment ref="C14" authorId="0" shapeId="0">
      <text>
        <r>
          <rPr>
            <b/>
            <sz val="9"/>
            <color indexed="81"/>
            <rFont val="Tahoma"/>
            <family val="2"/>
          </rPr>
          <t>Patrick Brin:</t>
        </r>
        <r>
          <rPr>
            <sz val="9"/>
            <color indexed="81"/>
            <rFont val="Tahoma"/>
            <family val="2"/>
          </rPr>
          <t xml:space="preserve">
Allocated based on ratio of total electric to total utility.
</t>
        </r>
      </text>
    </comment>
    <comment ref="C19" authorId="0" shapeId="0">
      <text>
        <r>
          <rPr>
            <b/>
            <sz val="9"/>
            <color indexed="81"/>
            <rFont val="Tahoma"/>
            <family val="2"/>
          </rPr>
          <t>Patrick Brin:</t>
        </r>
        <r>
          <rPr>
            <sz val="9"/>
            <color indexed="81"/>
            <rFont val="Tahoma"/>
            <family val="2"/>
          </rPr>
          <t xml:space="preserve">
Includes investment earnings per Exhibit H of Financial Report.</t>
        </r>
      </text>
    </comment>
    <comment ref="C20" authorId="0" shapeId="0">
      <text>
        <r>
          <rPr>
            <b/>
            <sz val="9"/>
            <color indexed="81"/>
            <rFont val="Tahoma"/>
            <family val="2"/>
          </rPr>
          <t>Patrick Brin:</t>
        </r>
        <r>
          <rPr>
            <sz val="9"/>
            <color indexed="81"/>
            <rFont val="Tahoma"/>
            <family val="2"/>
          </rPr>
          <t xml:space="preserve">
Includes gain/loss on sale of assets per Exhibit H of Financial Report.</t>
        </r>
      </text>
    </comment>
    <comment ref="C22" authorId="0" shapeId="0">
      <text>
        <r>
          <rPr>
            <b/>
            <sz val="9"/>
            <color indexed="81"/>
            <rFont val="Tahoma"/>
            <family val="2"/>
          </rPr>
          <t>Patrick Brin:</t>
        </r>
        <r>
          <rPr>
            <sz val="9"/>
            <color indexed="81"/>
            <rFont val="Tahoma"/>
            <family val="2"/>
          </rPr>
          <t xml:space="preserve">
Allocated based on ratio of total electric to total utility.
</t>
        </r>
      </text>
    </comment>
    <comment ref="C24" authorId="0" shapeId="0">
      <text>
        <r>
          <rPr>
            <b/>
            <sz val="9"/>
            <color indexed="81"/>
            <rFont val="Tahoma"/>
            <family val="2"/>
          </rPr>
          <t>Patrick Brin:</t>
        </r>
        <r>
          <rPr>
            <sz val="9"/>
            <color indexed="81"/>
            <rFont val="Tahoma"/>
            <family val="2"/>
          </rPr>
          <t xml:space="preserve">
Allocated based on ratio of total electric to total utility.
</t>
        </r>
      </text>
    </comment>
  </commentList>
</comments>
</file>

<file path=xl/comments4.xml><?xml version="1.0" encoding="utf-8"?>
<comments xmlns="http://schemas.openxmlformats.org/spreadsheetml/2006/main">
  <authors>
    <author>Patrick Brin</author>
  </authors>
  <commentList>
    <comment ref="C9" authorId="0" shapeId="0">
      <text>
        <r>
          <rPr>
            <b/>
            <sz val="9"/>
            <color indexed="81"/>
            <rFont val="Tahoma"/>
            <family val="2"/>
          </rPr>
          <t>Patrick Brin:</t>
        </r>
        <r>
          <rPr>
            <sz val="9"/>
            <color indexed="81"/>
            <rFont val="Tahoma"/>
            <family val="2"/>
          </rPr>
          <t xml:space="preserve">
Per Exhibit H of Financial Report.</t>
        </r>
      </text>
    </comment>
    <comment ref="C10" authorId="0" shapeId="0">
      <text>
        <r>
          <rPr>
            <b/>
            <sz val="9"/>
            <color indexed="81"/>
            <rFont val="Tahoma"/>
            <family val="2"/>
          </rPr>
          <t>Patrick Brin:</t>
        </r>
        <r>
          <rPr>
            <sz val="9"/>
            <color indexed="81"/>
            <rFont val="Tahoma"/>
            <family val="2"/>
          </rPr>
          <t xml:space="preserve">
Per Exhibit H of Financial Report.</t>
        </r>
      </text>
    </comment>
    <comment ref="C11" authorId="0" shapeId="0">
      <text>
        <r>
          <rPr>
            <b/>
            <sz val="9"/>
            <color indexed="81"/>
            <rFont val="Tahoma"/>
            <family val="2"/>
          </rPr>
          <t>Patrick Brin:</t>
        </r>
        <r>
          <rPr>
            <sz val="9"/>
            <color indexed="81"/>
            <rFont val="Tahoma"/>
            <family val="2"/>
          </rPr>
          <t xml:space="preserve">
Per Exhibit H of Financial Report.  Includes personnel costs, contractual/profession services, disposal costs, utilities, repairs and maintenance, vehicle expense, other supplies and expenses, misc. expenses, and payments in lieu of insurance.
</t>
        </r>
      </text>
    </comment>
    <comment ref="C12" authorId="0" shapeId="0">
      <text>
        <r>
          <rPr>
            <b/>
            <sz val="9"/>
            <color indexed="81"/>
            <rFont val="Tahoma"/>
            <family val="2"/>
          </rPr>
          <t>Patrick Brin:</t>
        </r>
        <r>
          <rPr>
            <sz val="9"/>
            <color indexed="81"/>
            <rFont val="Tahoma"/>
            <family val="2"/>
          </rPr>
          <t xml:space="preserve">
Per Exhibit H of Financial Report.</t>
        </r>
      </text>
    </comment>
    <comment ref="C14" authorId="0" shapeId="0">
      <text>
        <r>
          <rPr>
            <b/>
            <sz val="9"/>
            <color indexed="81"/>
            <rFont val="Tahoma"/>
            <family val="2"/>
          </rPr>
          <t>Patrick Brin:</t>
        </r>
        <r>
          <rPr>
            <sz val="9"/>
            <color indexed="81"/>
            <rFont val="Tahoma"/>
            <family val="2"/>
          </rPr>
          <t xml:space="preserve">
Includes Transfers In/Out, capital contributions and bond issuance premium per Exhibit H of Financial Report.</t>
        </r>
      </text>
    </comment>
    <comment ref="C19" authorId="0" shapeId="0">
      <text>
        <r>
          <rPr>
            <b/>
            <sz val="9"/>
            <color indexed="81"/>
            <rFont val="Tahoma"/>
            <family val="2"/>
          </rPr>
          <t>Patrick Brin:</t>
        </r>
        <r>
          <rPr>
            <sz val="9"/>
            <color indexed="81"/>
            <rFont val="Tahoma"/>
            <family val="2"/>
          </rPr>
          <t xml:space="preserve">
Includes investment earnings per Exhibit H of Financial Report.</t>
        </r>
      </text>
    </comment>
    <comment ref="C20" authorId="0" shapeId="0">
      <text>
        <r>
          <rPr>
            <b/>
            <sz val="9"/>
            <color indexed="81"/>
            <rFont val="Tahoma"/>
            <family val="2"/>
          </rPr>
          <t>Patrick Brin:</t>
        </r>
        <r>
          <rPr>
            <sz val="9"/>
            <color indexed="81"/>
            <rFont val="Tahoma"/>
            <family val="2"/>
          </rPr>
          <t xml:space="preserve">
Includes gain/loss on sale of assets per Exhibit H of Financial Report.</t>
        </r>
      </text>
    </comment>
    <comment ref="C24" authorId="0" shapeId="0">
      <text>
        <r>
          <rPr>
            <b/>
            <sz val="9"/>
            <color indexed="81"/>
            <rFont val="Tahoma"/>
            <family val="2"/>
          </rPr>
          <t>Patrick Brin:</t>
        </r>
        <r>
          <rPr>
            <sz val="9"/>
            <color indexed="81"/>
            <rFont val="Tahoma"/>
            <family val="2"/>
          </rPr>
          <t xml:space="preserve">
Per Exhibit H of Financial Report.</t>
        </r>
      </text>
    </comment>
  </commentList>
</comments>
</file>

<file path=xl/comments5.xml><?xml version="1.0" encoding="utf-8"?>
<comments xmlns="http://schemas.openxmlformats.org/spreadsheetml/2006/main">
  <authors>
    <author>Patrick Brin</author>
    <author>Jessica Rozier</author>
  </authors>
  <commentList>
    <comment ref="G494" authorId="0" shapeId="0">
      <text>
        <r>
          <rPr>
            <b/>
            <sz val="9"/>
            <color indexed="81"/>
            <rFont val="Tahoma"/>
            <charset val="1"/>
          </rPr>
          <t>Patrick Brin:</t>
        </r>
        <r>
          <rPr>
            <sz val="9"/>
            <color indexed="81"/>
            <rFont val="Tahoma"/>
            <charset val="1"/>
          </rPr>
          <t xml:space="preserve">
This asset was fully depreciated in the Attachment O for FYE April 30, 2015.</t>
        </r>
      </text>
    </comment>
    <comment ref="H523" authorId="1" shapeId="0">
      <text>
        <r>
          <rPr>
            <b/>
            <sz val="9"/>
            <color indexed="81"/>
            <rFont val="Tahoma"/>
            <family val="2"/>
          </rPr>
          <t>Jessica Rozier:</t>
        </r>
        <r>
          <rPr>
            <sz val="9"/>
            <color indexed="81"/>
            <rFont val="Tahoma"/>
            <family val="2"/>
          </rPr>
          <t xml:space="preserve">
From 2015 Attachment O - WP - Electric Utility Fund - Col. H &amp; Row 562</t>
        </r>
      </text>
    </comment>
    <comment ref="I523" authorId="1" shapeId="0">
      <text>
        <r>
          <rPr>
            <b/>
            <sz val="9"/>
            <color indexed="81"/>
            <rFont val="Tahoma"/>
            <family val="2"/>
          </rPr>
          <t>Jessica Rozier:</t>
        </r>
        <r>
          <rPr>
            <sz val="9"/>
            <color indexed="81"/>
            <rFont val="Tahoma"/>
            <family val="2"/>
          </rPr>
          <t xml:space="preserve">
From 2015 Attachment O - WP - Electric Utility Fund - Col. I &amp; Row 562</t>
        </r>
      </text>
    </comment>
    <comment ref="J523" authorId="1" shapeId="0">
      <text>
        <r>
          <rPr>
            <b/>
            <sz val="9"/>
            <color indexed="81"/>
            <rFont val="Tahoma"/>
            <family val="2"/>
          </rPr>
          <t>Jessica Rozier:</t>
        </r>
        <r>
          <rPr>
            <sz val="9"/>
            <color indexed="81"/>
            <rFont val="Tahoma"/>
            <family val="2"/>
          </rPr>
          <t xml:space="preserve">
From 2015 Attachment O - WP - Electric Utility Fund - Col. J &amp; Row 562</t>
        </r>
      </text>
    </comment>
  </commentList>
</comments>
</file>

<file path=xl/comments6.xml><?xml version="1.0" encoding="utf-8"?>
<comments xmlns="http://schemas.openxmlformats.org/spreadsheetml/2006/main">
  <authors>
    <author>Patrick Brin</author>
  </authors>
  <commentList>
    <comment ref="G262" authorId="0" shapeId="0">
      <text>
        <r>
          <rPr>
            <b/>
            <sz val="9"/>
            <color indexed="81"/>
            <rFont val="Tahoma"/>
            <family val="2"/>
          </rPr>
          <t>Patrick Brin:</t>
        </r>
        <r>
          <rPr>
            <sz val="9"/>
            <color indexed="81"/>
            <rFont val="Tahoma"/>
            <family val="2"/>
          </rPr>
          <t xml:space="preserve">
Exhibit G of Financial Report</t>
        </r>
      </text>
    </comment>
    <comment ref="H262" authorId="0" shapeId="0">
      <text>
        <r>
          <rPr>
            <b/>
            <sz val="9"/>
            <color indexed="81"/>
            <rFont val="Tahoma"/>
            <family val="2"/>
          </rPr>
          <t>Patrick Brin:</t>
        </r>
        <r>
          <rPr>
            <sz val="9"/>
            <color indexed="81"/>
            <rFont val="Tahoma"/>
            <family val="2"/>
          </rPr>
          <t xml:space="preserve">
Exhibit G of Financial Report</t>
        </r>
      </text>
    </comment>
    <comment ref="I262" authorId="0" shapeId="0">
      <text>
        <r>
          <rPr>
            <b/>
            <sz val="9"/>
            <color indexed="81"/>
            <rFont val="Tahoma"/>
            <family val="2"/>
          </rPr>
          <t>Patrick Brin:</t>
        </r>
        <r>
          <rPr>
            <sz val="9"/>
            <color indexed="81"/>
            <rFont val="Tahoma"/>
            <family val="2"/>
          </rPr>
          <t xml:space="preserve">
Exhibit G of Financial Report</t>
        </r>
      </text>
    </comment>
    <comment ref="J262" authorId="0" shapeId="0">
      <text>
        <r>
          <rPr>
            <b/>
            <sz val="9"/>
            <color indexed="81"/>
            <rFont val="Tahoma"/>
            <family val="2"/>
          </rPr>
          <t>Patrick Brin:</t>
        </r>
        <r>
          <rPr>
            <sz val="9"/>
            <color indexed="81"/>
            <rFont val="Tahoma"/>
            <family val="2"/>
          </rPr>
          <t xml:space="preserve">
Exhibit G of Financial Report</t>
        </r>
      </text>
    </comment>
    <comment ref="T262" authorId="0" shapeId="0">
      <text>
        <r>
          <rPr>
            <b/>
            <sz val="9"/>
            <color indexed="81"/>
            <rFont val="Tahoma"/>
            <family val="2"/>
          </rPr>
          <t>Patrick Brin:</t>
        </r>
        <r>
          <rPr>
            <sz val="9"/>
            <color indexed="81"/>
            <rFont val="Tahoma"/>
            <family val="2"/>
          </rPr>
          <t xml:space="preserve">
Exhibit G of Financial Report</t>
        </r>
      </text>
    </comment>
  </commentList>
</comments>
</file>

<file path=xl/sharedStrings.xml><?xml version="1.0" encoding="utf-8"?>
<sst xmlns="http://schemas.openxmlformats.org/spreadsheetml/2006/main" count="5561" uniqueCount="1955">
  <si>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</si>
  <si>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</si>
  <si>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</si>
  <si>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</si>
  <si>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</si>
  <si>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</si>
  <si>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</si>
  <si>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</si>
  <si>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</si>
  <si>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</si>
  <si>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</si>
  <si>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</si>
  <si>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</si>
  <si>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</si>
  <si>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</si>
  <si>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</si>
  <si>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</si>
  <si>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</si>
  <si>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</si>
  <si>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</si>
  <si>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</si>
  <si>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</si>
  <si>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</si>
  <si>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</si>
  <si>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</si>
  <si>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</si>
  <si>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</si>
  <si>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</si>
  <si>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</si>
  <si>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</si>
  <si>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</si>
  <si>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</si>
  <si>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</si>
  <si>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</si>
  <si>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</si>
  <si>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</si>
  <si>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</si>
  <si>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</si>
  <si>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</si>
  <si>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</si>
  <si>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</si>
  <si>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</si>
  <si>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</si>
  <si>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</si>
  <si>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</si>
  <si>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</si>
  <si>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</si>
  <si>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</si>
  <si>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</si>
  <si>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</si>
  <si>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</si>
  <si>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</si>
  <si>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</si>
  <si>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</si>
  <si>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</si>
  <si>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</si>
  <si>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</si>
  <si>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</si>
  <si>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</si>
  <si>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</si>
  <si>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</si>
  <si>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</si>
  <si>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</si>
  <si>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</si>
  <si>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</si>
  <si>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</si>
  <si>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</si>
  <si>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</si>
  <si>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</si>
  <si>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</si>
  <si>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</si>
  <si>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</si>
  <si>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</si>
  <si>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</si>
  <si>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</si>
  <si>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</si>
  <si>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</si>
  <si>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</si>
  <si>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</si>
  <si>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</si>
  <si>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</si>
  <si>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</si>
  <si>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</si>
  <si>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</si>
  <si>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</si>
  <si>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</si>
  <si>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</si>
  <si>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</si>
  <si>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</si>
  <si>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</si>
  <si>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</si>
  <si>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</si>
  <si>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</si>
  <si>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</si>
  <si>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</si>
  <si>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</si>
  <si>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</si>
  <si>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</si>
  <si>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</si>
  <si>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</si>
  <si>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</si>
  <si>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</si>
  <si>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</si>
  <si>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</si>
  <si>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</si>
  <si>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</si>
  <si>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</si>
  <si>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</si>
  <si>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</si>
  <si>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</si>
  <si>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</si>
  <si>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</si>
  <si>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</si>
  <si>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</si>
  <si>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</si>
  <si>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</si>
  <si>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</si>
  <si>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</si>
  <si>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</si>
  <si>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</si>
  <si>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</si>
  <si>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</si>
  <si>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</si>
  <si>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</si>
  <si>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</si>
  <si>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</si>
  <si>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</si>
  <si>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</si>
  <si>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</si>
  <si>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</si>
  <si>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</si>
  <si>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</si>
  <si>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</si>
  <si>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</si>
  <si>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</si>
  <si>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</si>
  <si>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</si>
  <si>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</si>
  <si>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</si>
  <si>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</si>
  <si>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</si>
  <si>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</si>
  <si>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</si>
  <si>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</si>
  <si>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</si>
  <si>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</si>
  <si>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</si>
  <si>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</si>
  <si>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</si>
  <si>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</si>
  <si>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</si>
  <si>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</si>
  <si>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</si>
  <si>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</si>
  <si>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</si>
  <si>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</si>
  <si>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</si>
  <si>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</si>
  <si>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</si>
  <si>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</si>
  <si>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</si>
  <si>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</si>
  <si>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</si>
  <si>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</si>
  <si>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</si>
  <si>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</si>
  <si>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</si>
  <si>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</si>
  <si>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</si>
  <si>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</si>
  <si>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</si>
  <si>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</si>
  <si>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</si>
  <si>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</si>
  <si>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</si>
  <si>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</si>
  <si>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</si>
  <si>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</si>
  <si>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</si>
  <si>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</si>
  <si>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</si>
  <si>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</si>
  <si>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</si>
  <si>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</si>
  <si>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</si>
  <si>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</si>
  <si>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</si>
  <si>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</si>
  <si>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</si>
  <si>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U</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</si>
  <si>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</si>
  <si>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</si>
  <si>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</si>
  <si>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</si>
  <si>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</si>
  <si>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</si>
  <si>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</si>
  <si>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</si>
  <si>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</si>
  <si>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</si>
  <si>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</si>
  <si>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</si>
  <si>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</si>
  <si>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</si>
  <si>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</si>
  <si>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</si>
  <si>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</si>
  <si>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</si>
  <si>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</si>
  <si>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Divisor  (sum lines 8-14)</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</si>
  <si>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</si>
  <si>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</si>
  <si>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</si>
  <si>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</si>
  <si>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</si>
  <si>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</si>
  <si>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</si>
  <si>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</si>
  <si>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</si>
  <si>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</si>
  <si>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</si>
  <si>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</si>
  <si>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</si>
  <si>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</si>
  <si>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</si>
  <si>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</si>
  <si>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</si>
  <si>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</si>
  <si>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</si>
  <si>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</si>
  <si>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</si>
  <si>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</si>
  <si>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</si>
  <si>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</si>
  <si>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</si>
  <si>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</si>
  <si>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</si>
  <si>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</si>
  <si>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</si>
  <si>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</si>
  <si>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</si>
  <si>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</si>
  <si>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</si>
  <si>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</si>
  <si>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</si>
  <si>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</si>
  <si>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</si>
  <si>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Line 29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</si>
  <si>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</si>
  <si>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</si>
  <si>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</si>
  <si>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</si>
  <si>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</si>
  <si>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</si>
  <si>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</si>
  <si>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</si>
  <si>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</si>
  <si>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</si>
  <si>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</si>
  <si>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</si>
  <si>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</si>
  <si>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</si>
  <si>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</si>
  <si>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</si>
  <si>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</si>
  <si>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</si>
  <si>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</si>
  <si>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</si>
  <si>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</si>
  <si>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</si>
  <si>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</si>
  <si>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</si>
  <si>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</si>
  <si>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</si>
  <si>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</si>
  <si>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</si>
  <si>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</si>
  <si>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</si>
  <si>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</si>
  <si>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</si>
  <si>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</si>
  <si>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</si>
  <si>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</si>
  <si>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</si>
  <si>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</si>
  <si>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</si>
  <si>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</si>
  <si>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</si>
  <si>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</si>
  <si>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</si>
  <si>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</si>
  <si>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</si>
  <si>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</si>
  <si>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</si>
  <si>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</si>
  <si>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</si>
  <si>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</si>
  <si>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</si>
  <si>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Removes transmission plant determined  to be state-jurisdictional by Commission order according to the seven-factor test (until EIA 412 balances are adjusted to reflect application of seven-factor test).</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</si>
  <si>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</si>
  <si>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Attachment O-EIA Non-Levelized Generic</t>
  </si>
  <si>
    <t>Network &amp; P-to-P Rate ($/kW/Mo)  (line 11 / 12)</t>
  </si>
  <si>
    <t>6a</t>
  </si>
  <si>
    <t>Adjustments to Net Revenue Requirement (Note CC)</t>
  </si>
  <si>
    <t>6b</t>
  </si>
  <si>
    <t>Interest on Adjustments (Note DD)</t>
  </si>
  <si>
    <t>6c</t>
  </si>
  <si>
    <t>Total Adjustment (line 6a + line 6b)</t>
  </si>
  <si>
    <t>CC</t>
  </si>
  <si>
    <t>DD</t>
  </si>
  <si>
    <t xml:space="preserve">Adjustments required pursuant to Section V (Changes to Annual Updates) of Attachment O.  Refunds shall be entered as a negative number to reduce the </t>
  </si>
  <si>
    <t>net revenue requirement.  Surcharges shall be entered as a positive number to increase the net revenue requirement.</t>
  </si>
  <si>
    <t xml:space="preserve">Interest required pursuant to Section V (Changes to Annual Updates) of Attachment O.  Interest on any refunds shall be entered as a negative number to reduce </t>
  </si>
  <si>
    <t>the net revenue requirement.  Interest on surcharge shall be entered as a positive number to increase the net revenue requirement.</t>
  </si>
  <si>
    <t>(line 1 minus line 6 plus Line 6c)</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</si>
  <si>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or Proprietary Capital Cost up to the upper end of the zone of reasonableness established by FERC for a transmission owner that has turned over functional control of its Transmission Facilities to MISO or provides service over Non-transferred Transmission Facilities through the MISO Tariff with MISO acting as agent., subject to the following criteria. By use of this template, any transmission owner utilizing the RTO Adder affirms that it: 1) commits to providing refunds (with interest at the FERC refund interest rates) to the extent that the ROE or zone of reasonableness established in Docket No. EL14-12 when applied to the effective date established in Docket No ER15-1067-000 would result in a lower revenue requirement than that charged; and 2) commits to providing refunds (with interest at the FERC refund interest rates) consistent with any refund effective date established in any other proceedings resulting in a new base ROE or new zone of reasonableness for the MISO transmission owners’ base ROE, to the extent that the ROE or zone of reasonableness established in any such proceedings, when applied as of the refund effective date established in such proceedings, would result in a lower revenue requirement than that charged.</t>
  </si>
  <si>
    <t xml:space="preserve">ROE Determination </t>
  </si>
  <si>
    <t>ROE per EL14-12, Effective 9-28-2016</t>
  </si>
  <si>
    <t>RTO Adder per ER15-1067, Effective June 16, 2015</t>
  </si>
  <si>
    <t>City of Alexandria, Louisiana</t>
  </si>
  <si>
    <t>EIA-412</t>
  </si>
  <si>
    <t>Schedule 2</t>
  </si>
  <si>
    <t>ELECTRIC BALANCE SHEET</t>
  </si>
  <si>
    <t>AMOUNT</t>
  </si>
  <si>
    <t>ASSETS and OTHER DEBITS</t>
  </si>
  <si>
    <t>(Dollars)</t>
  </si>
  <si>
    <t>No</t>
  </si>
  <si>
    <t>LIABILITIES and OTHER CREDITS</t>
  </si>
  <si>
    <t>ELECTRIC PLANT</t>
  </si>
  <si>
    <t>PROPIETARY CAPITAL</t>
  </si>
  <si>
    <t>Electric Plant &amp; Adjustments</t>
  </si>
  <si>
    <t>(101-106,114,116)</t>
  </si>
  <si>
    <t>Investment of Municipality (208)</t>
  </si>
  <si>
    <t xml:space="preserve">Construction Work In Progress (107) </t>
  </si>
  <si>
    <t>Miscellaneous Capital (211, 219, 219.1)</t>
  </si>
  <si>
    <t>(Less) Accumulated Provision for</t>
  </si>
  <si>
    <t xml:space="preserve">Depreciation, Amortization and </t>
  </si>
  <si>
    <t>Retained Earnings</t>
  </si>
  <si>
    <t>Depletion (108,111,115)</t>
  </si>
  <si>
    <t>(215, 215.1, 216)</t>
  </si>
  <si>
    <t xml:space="preserve">Net Electric Plant </t>
  </si>
  <si>
    <t>TOTAL PROPRIETARY CAPITAL</t>
  </si>
  <si>
    <t>Nuclear Fuel (120.1-120.4, 120.6)</t>
  </si>
  <si>
    <t>LONG TERM DEBT</t>
  </si>
  <si>
    <t>Amortization of Nuclear Fuel</t>
  </si>
  <si>
    <t>Assemblies (120.5)</t>
  </si>
  <si>
    <t>Bonds (221, 222)</t>
  </si>
  <si>
    <t>Net Electric Plant including Nuclear</t>
  </si>
  <si>
    <t>Advances from Municipality and Other</t>
  </si>
  <si>
    <t xml:space="preserve">Fuel </t>
  </si>
  <si>
    <t>Long Term Debt (223, 224)</t>
  </si>
  <si>
    <t>OTHER PROPERTY &amp; INVESTMENTS</t>
  </si>
  <si>
    <t xml:space="preserve">Unamortized Premium on Long Term </t>
  </si>
  <si>
    <t>Non-Electric Plant Property (121)</t>
  </si>
  <si>
    <t>Debt (225)</t>
  </si>
  <si>
    <t>(Less) Unamortized Discount on Long</t>
  </si>
  <si>
    <t>Depreciation and Amortization (122)</t>
  </si>
  <si>
    <t>Term Debt (226)</t>
  </si>
  <si>
    <t>Investment in Associated Enterprises</t>
  </si>
  <si>
    <t>(123-123.1)</t>
  </si>
  <si>
    <t>Total Long Term Debt</t>
  </si>
  <si>
    <t>Investments &amp; Special Funds (124-129)</t>
  </si>
  <si>
    <t>Total Other Property and Investments</t>
  </si>
  <si>
    <t>OTHER NONCURRENT LIABILITIES</t>
  </si>
  <si>
    <t>CURRENT &amp; ACCRUED ASSETS</t>
  </si>
  <si>
    <t>Accumulated Operating Provisions (228.1-.4)</t>
  </si>
  <si>
    <t>Cash, Working Funds &amp; Investments</t>
  </si>
  <si>
    <t>Accumulated Provisions for Rate Refunds</t>
  </si>
  <si>
    <t>(131-136)</t>
  </si>
  <si>
    <t>Total Other Non Current Liabilities</t>
  </si>
  <si>
    <t>Notes &amp; Other Receivables</t>
  </si>
  <si>
    <t>(141, 143, 145, 146, 172)</t>
  </si>
  <si>
    <t>CURRENT AND ACCRUED LIABILITIES</t>
  </si>
  <si>
    <t>Customer Accounts Receivable (142)</t>
  </si>
  <si>
    <t>Notes Payable (231)</t>
  </si>
  <si>
    <t>Uncollectible Accounts (144)</t>
  </si>
  <si>
    <t>Accounts Payable (232)</t>
  </si>
  <si>
    <t>Fuel Stock &amp; Expenses Undistributed</t>
  </si>
  <si>
    <t>Notes and Accounts Payable to</t>
  </si>
  <si>
    <t>(151-152)</t>
  </si>
  <si>
    <t>Associated Enterprises (233, 234)</t>
  </si>
  <si>
    <t>Plant Materials &amp; Operating Supplies (154)</t>
  </si>
  <si>
    <t>Customer Deposits (235)</t>
  </si>
  <si>
    <t>Other Supplies &amp; Misc (153, 155-163)</t>
  </si>
  <si>
    <t>Accrued taxes (236)</t>
  </si>
  <si>
    <t>Prepayments (165)</t>
  </si>
  <si>
    <t>Accrued Interest payable (237)</t>
  </si>
  <si>
    <t xml:space="preserve">Accrued revenues (173) </t>
  </si>
  <si>
    <t>Misc Curr &amp; Accr Liabilities (239-245)</t>
  </si>
  <si>
    <t>Misc Current &amp; Accrued Assets (171, 174)</t>
  </si>
  <si>
    <t>Total Current &amp; Accrued Liabilities</t>
  </si>
  <si>
    <t>Total Current &amp; Accrued Assets</t>
  </si>
  <si>
    <t>DEFERRED CREDITS</t>
  </si>
  <si>
    <t>DEFERRED DEBITS</t>
  </si>
  <si>
    <t>Customer Advances for Construction</t>
  </si>
  <si>
    <t>Unamortized Debt Expense (181)</t>
  </si>
  <si>
    <t>(252)</t>
  </si>
  <si>
    <t>Extraordinary Property Losses, Study Costs,</t>
  </si>
  <si>
    <t xml:space="preserve">Other Deferred Credits </t>
  </si>
  <si>
    <t>and Charges (182.1, 182.2, 182.3, 183)</t>
  </si>
  <si>
    <t>(253, 256, 281-283)</t>
  </si>
  <si>
    <t xml:space="preserve">Miscellaneous Debt, Research and </t>
  </si>
  <si>
    <t>Development Expenses &amp; Unamortized</t>
  </si>
  <si>
    <t xml:space="preserve">Unamortized gain on Reacquired Debt </t>
  </si>
  <si>
    <t>Losses (184-191)</t>
  </si>
  <si>
    <t>(257)</t>
  </si>
  <si>
    <t xml:space="preserve">Total Deferred Debits </t>
  </si>
  <si>
    <t>Total Deferred Credits</t>
  </si>
  <si>
    <t>TOTAL ASSETS &amp; OTHER DEBITS</t>
  </si>
  <si>
    <t>TOTAL LIABILITIES &amp; OTHER CREDITS</t>
  </si>
  <si>
    <t>UTILITIES BALANCE SHEET</t>
  </si>
  <si>
    <t>Total Assets Reported on Exhibit G</t>
  </si>
  <si>
    <t>Difference</t>
  </si>
  <si>
    <t>Schedule 3</t>
  </si>
  <si>
    <t>ELECTRIC INCOME STATEMENT</t>
  </si>
  <si>
    <t>Electric Operating Revenues (400)</t>
  </si>
  <si>
    <t>Operation Expenses (401)</t>
  </si>
  <si>
    <t>Maintenance Expenses (402)</t>
  </si>
  <si>
    <t>Depreciation Expenses (403)</t>
  </si>
  <si>
    <t>Amortization of Electric Plant, Property Losses, and Regulatory Study Costs (404-407)</t>
  </si>
  <si>
    <t>Taxes and Tax Equivalents (408.1, 409.1)</t>
  </si>
  <si>
    <t xml:space="preserve">    TOTAL ELECTRIC OPERATING EXPENSES</t>
  </si>
  <si>
    <t xml:space="preserve">        NET ELECTRIC OPERATING INCOME</t>
  </si>
  <si>
    <t>Income from Electric Plant Leased to Others (412, 413)</t>
  </si>
  <si>
    <t xml:space="preserve">    Electric Operating Income</t>
  </si>
  <si>
    <t>Other Electric Income (415, 417, 418, 419, 421, 421.1)</t>
  </si>
  <si>
    <t>Other Electric Deductions (416, 417, 421.2)</t>
  </si>
  <si>
    <t>Allowance for Other Funds Used During Construction (419.1)</t>
  </si>
  <si>
    <t>Taxes Applicable to Other Income and Deductions (408.2, 409.2)</t>
  </si>
  <si>
    <t xml:space="preserve">    Electric Income</t>
  </si>
  <si>
    <t>Income Deductions from Interest on Long Term Debt (427)</t>
  </si>
  <si>
    <t>Other Income Deductions (428-431)</t>
  </si>
  <si>
    <t>Allowance for Borrowed Funds Used During Constructions (432)</t>
  </si>
  <si>
    <t xml:space="preserve">    Total Income Deductions</t>
  </si>
  <si>
    <t xml:space="preserve">        Income Before Extraordinary Items</t>
  </si>
  <si>
    <t>Extraordinary Items (434)</t>
  </si>
  <si>
    <t>Extraordinary Deductions (435)</t>
  </si>
  <si>
    <t xml:space="preserve">        NET INCOME</t>
  </si>
  <si>
    <t>UTILITIES INCOME STATEMENT</t>
  </si>
  <si>
    <t>Schedule 4</t>
  </si>
  <si>
    <t xml:space="preserve">Beginning </t>
  </si>
  <si>
    <t>Ending</t>
  </si>
  <si>
    <t>Balance</t>
  </si>
  <si>
    <t>Additions</t>
  </si>
  <si>
    <t>Retirements</t>
  </si>
  <si>
    <t>Transfers</t>
  </si>
  <si>
    <t>Check</t>
  </si>
  <si>
    <t>(a)</t>
  </si>
  <si>
    <t>(b)</t>
  </si>
  <si>
    <t>(c)</t>
  </si>
  <si>
    <t>(d)</t>
  </si>
  <si>
    <t>(e)</t>
  </si>
  <si>
    <t>Intangible Plant (301-303)</t>
  </si>
  <si>
    <t>Steam Production (310-316)</t>
  </si>
  <si>
    <t>Nuclear Production (320-325)</t>
  </si>
  <si>
    <t>Hydraulic Production (330-336)</t>
  </si>
  <si>
    <t>Other Production (340-346)</t>
  </si>
  <si>
    <t>Total Production Plant</t>
  </si>
  <si>
    <t>Transmission Plant (350-359)</t>
  </si>
  <si>
    <t>Distribution Plant (360-373)</t>
  </si>
  <si>
    <t>General Plant (389-399)</t>
  </si>
  <si>
    <t>Total Electric Plant In Service</t>
  </si>
  <si>
    <t>Electric Plant Leased to Others</t>
  </si>
  <si>
    <t>Electric Plant Held for Future Use</t>
  </si>
  <si>
    <t>Electric Plant Miscellaneous</t>
  </si>
  <si>
    <t>Construction Work in Progress</t>
  </si>
  <si>
    <t>Total Electric Plant &amp; Adj's</t>
  </si>
  <si>
    <t>Schedule 7</t>
  </si>
  <si>
    <t>ELECTRIC OPERATION AND MAINTENANCE EXPENSES (Dollars)</t>
  </si>
  <si>
    <t>Fuel Cost</t>
  </si>
  <si>
    <t>Operation</t>
  </si>
  <si>
    <t>Maintenance</t>
  </si>
  <si>
    <t>Steam Power Generation</t>
  </si>
  <si>
    <t>(500-507, 510-514) Fuel Cost (501)</t>
  </si>
  <si>
    <t>Nuclear Power Generation</t>
  </si>
  <si>
    <t>Hydraulic Power Generation</t>
  </si>
  <si>
    <t>(535-540, 541-545)</t>
  </si>
  <si>
    <t>Other Power Generation</t>
  </si>
  <si>
    <t>(546-550, 551-554) Fuel cost (547)</t>
  </si>
  <si>
    <t>Purchased Power (555)</t>
  </si>
  <si>
    <t>Other Production Expenses</t>
  </si>
  <si>
    <t>(556-557)</t>
  </si>
  <si>
    <t xml:space="preserve">   Total Production Expenses</t>
  </si>
  <si>
    <t>Transmission Expenses</t>
  </si>
  <si>
    <t>(560-567, 568-573)</t>
  </si>
  <si>
    <t>Distribution Expenses</t>
  </si>
  <si>
    <t>(580-589, 590-598)</t>
  </si>
  <si>
    <t>Customer Account Expenses</t>
  </si>
  <si>
    <t>(901-906)</t>
  </si>
  <si>
    <t>Customer Service &amp; Information</t>
  </si>
  <si>
    <t>Expenses (907-910)</t>
  </si>
  <si>
    <t>Sales Expenses (911-916)</t>
  </si>
  <si>
    <t>Admin &amp; General exp (920-935)</t>
  </si>
  <si>
    <t>Total Electric Operation and</t>
  </si>
  <si>
    <t>Maintenance Expenses</t>
  </si>
  <si>
    <t>City of Alexandria, LA</t>
  </si>
  <si>
    <t>Workpaper to Compute Allocation Factors</t>
  </si>
  <si>
    <t>Gross</t>
  </si>
  <si>
    <t>Plant-in-Service</t>
  </si>
  <si>
    <t>Factor</t>
  </si>
  <si>
    <t>Electric System Allocation Factor:</t>
  </si>
  <si>
    <t>Utilities System</t>
  </si>
  <si>
    <t>Electric System (exc. Common)</t>
  </si>
  <si>
    <t>Electric Plant Allocation Factors:</t>
  </si>
  <si>
    <t>Production</t>
  </si>
  <si>
    <t>Distribution</t>
  </si>
  <si>
    <t>General and Intangible</t>
  </si>
  <si>
    <t>Common</t>
  </si>
  <si>
    <t>Total Electric</t>
  </si>
  <si>
    <t>T&amp;D Plant Allocation Factors:</t>
  </si>
  <si>
    <t>Total T&amp;D</t>
  </si>
  <si>
    <t>Workpaper to Compute the Functionalization of Plant</t>
  </si>
  <si>
    <t>Original Cost</t>
  </si>
  <si>
    <t>Accumulated Depreciation</t>
  </si>
  <si>
    <t>Depreciation Expense</t>
  </si>
  <si>
    <t>General</t>
  </si>
  <si>
    <t>Transmission/Distribution</t>
  </si>
  <si>
    <t>Other</t>
  </si>
  <si>
    <t>Full Functionalization for Fiscal Year Ending 4/30/15</t>
  </si>
  <si>
    <t>Full Functionalization - Addition/Changes from Prior Fiscal Year</t>
  </si>
  <si>
    <t xml:space="preserve">Workpaper for Allocation of Electric System Plant, Accumulated Depreciation </t>
  </si>
  <si>
    <t>Reserve and Depreciation Expense</t>
  </si>
  <si>
    <t>Total Unfunctionalized Amounts ($)</t>
  </si>
  <si>
    <t>Functionalization of Original Cost</t>
  </si>
  <si>
    <t>Functionalization of Accumulated Depreciation</t>
  </si>
  <si>
    <t>Functionalization of Depreciation Expense</t>
  </si>
  <si>
    <t>Allocation Percentages</t>
  </si>
  <si>
    <t>Account</t>
  </si>
  <si>
    <t>Acq Date</t>
  </si>
  <si>
    <t>Description</t>
  </si>
  <si>
    <t>Asset Tag</t>
  </si>
  <si>
    <t>Dep Meth1</t>
  </si>
  <si>
    <t>Dep Meth2</t>
  </si>
  <si>
    <t>Useful Life</t>
  </si>
  <si>
    <t>Function</t>
  </si>
  <si>
    <t>Prior Function - Not Used</t>
  </si>
  <si>
    <t>Comments</t>
  </si>
  <si>
    <t>Substation</t>
  </si>
  <si>
    <t>401-162711</t>
  </si>
  <si>
    <t>SLP</t>
  </si>
  <si>
    <t>MM</t>
  </si>
  <si>
    <t>401-164714</t>
  </si>
  <si>
    <t>GENERATING SYSTEM 1974</t>
  </si>
  <si>
    <t>GS4010001</t>
  </si>
  <si>
    <t>401-161711</t>
  </si>
  <si>
    <t>LAND - LIGHT SYSTEM  PURPOSE</t>
  </si>
  <si>
    <t>LD401001</t>
  </si>
  <si>
    <t>NONE</t>
  </si>
  <si>
    <t>401-161722</t>
  </si>
  <si>
    <t>LAND - TWIN BRIDGES 10.66 ACRES</t>
  </si>
  <si>
    <t>LD401002</t>
  </si>
  <si>
    <t>401-163817</t>
  </si>
  <si>
    <t>STERKX ROAD SUBSTATION 1976</t>
  </si>
  <si>
    <t>SRS401004</t>
  </si>
  <si>
    <t>401-164711</t>
  </si>
  <si>
    <t>DISTRIB SYS LIGHT PROD 1976</t>
  </si>
  <si>
    <t>LP4010029</t>
  </si>
  <si>
    <t>DISTRIB SYS LIGHT PROD 1977</t>
  </si>
  <si>
    <t>LP4010031</t>
  </si>
  <si>
    <t>DISTRIB SYS LIGHT PROD 1978</t>
  </si>
  <si>
    <t>LP4010049</t>
  </si>
  <si>
    <t>DISTRIB SYS LIGHT PROD 1979</t>
  </si>
  <si>
    <t>LP4010004</t>
  </si>
  <si>
    <t>STERKX ROAD SUBSTATION 1980</t>
  </si>
  <si>
    <t>SRS401002</t>
  </si>
  <si>
    <t>DISTRIB SYS LIGHT PROD 1980</t>
  </si>
  <si>
    <t>LP4010012</t>
  </si>
  <si>
    <t>401-163721</t>
  </si>
  <si>
    <t>SPECIAL LIGHTING 1981</t>
  </si>
  <si>
    <t>SL4010026</t>
  </si>
  <si>
    <t>DISTRIB SYS LIGHT PROD 1981</t>
  </si>
  <si>
    <t>LP4010014</t>
  </si>
  <si>
    <t>401-164722</t>
  </si>
  <si>
    <t>TRANSFORMERS 1981</t>
  </si>
  <si>
    <t>TR4010035</t>
  </si>
  <si>
    <t>SPECIAL LIGHTING 1982</t>
  </si>
  <si>
    <t>SL4010015</t>
  </si>
  <si>
    <t>DISTRIB SYS LIGHT PROD 1982</t>
  </si>
  <si>
    <t>LP4010007</t>
  </si>
  <si>
    <t>TRANSFORMERS 1982</t>
  </si>
  <si>
    <t>TR4010031</t>
  </si>
  <si>
    <t>SPECIAL LIGHTING 1983</t>
  </si>
  <si>
    <t>SL4010011</t>
  </si>
  <si>
    <t>DISTRIB SYS LIGHT PROD 1983</t>
  </si>
  <si>
    <t>LP4010002</t>
  </si>
  <si>
    <t>401-164721</t>
  </si>
  <si>
    <t>LIGHT DIST SYSTEM 1983</t>
  </si>
  <si>
    <t>LDS401010</t>
  </si>
  <si>
    <t>TRANSFORMERS 1983</t>
  </si>
  <si>
    <t>TR4010038</t>
  </si>
  <si>
    <t>SPECIAL LIGHTING 1984</t>
  </si>
  <si>
    <t>SL4010003</t>
  </si>
  <si>
    <t>401-163723</t>
  </si>
  <si>
    <t>TRANSFORMERS 1984</t>
  </si>
  <si>
    <t>TR4010009</t>
  </si>
  <si>
    <t>DISTRIB SYS LIGHT PROD 1984</t>
  </si>
  <si>
    <t>LP4010008</t>
  </si>
  <si>
    <t>LIGHT DIST SYSTEM 1984</t>
  </si>
  <si>
    <t>LDS401005</t>
  </si>
  <si>
    <t>TR4010032</t>
  </si>
  <si>
    <t>SPECIAL LIGHTING 1985</t>
  </si>
  <si>
    <t>SL4010008</t>
  </si>
  <si>
    <t>TRANSFORMERS 1985</t>
  </si>
  <si>
    <t>TR4010008</t>
  </si>
  <si>
    <t>DISTRIB SYS LIGHT PROD 1985</t>
  </si>
  <si>
    <t>LP4010006</t>
  </si>
  <si>
    <t>LIGHT DIST SYSTEM 1985</t>
  </si>
  <si>
    <t>LDS401004</t>
  </si>
  <si>
    <t>TR4010029</t>
  </si>
  <si>
    <t>401-164723</t>
  </si>
  <si>
    <t>TWIN BRIDGES 138 KVA</t>
  </si>
  <si>
    <t>TR-TB40101</t>
  </si>
  <si>
    <t>Original Substation - includes transformer costs</t>
  </si>
  <si>
    <t>SPECIAL LIGHTING 1986</t>
  </si>
  <si>
    <t>SL4010005</t>
  </si>
  <si>
    <t>SL4010014</t>
  </si>
  <si>
    <t>401-163722</t>
  </si>
  <si>
    <t>LIGHT METERS 1986</t>
  </si>
  <si>
    <t>LM4010009</t>
  </si>
  <si>
    <t>TRANSFORMERS 1986</t>
  </si>
  <si>
    <t>TR4010011</t>
  </si>
  <si>
    <t>DISTRIB SYS LIGHT PROD 1986</t>
  </si>
  <si>
    <t>LP4010026</t>
  </si>
  <si>
    <t>LP4010028</t>
  </si>
  <si>
    <t>SPECIAL LIGHTING 1987</t>
  </si>
  <si>
    <t>SL4010013</t>
  </si>
  <si>
    <t>LIGHT METERS 1987</t>
  </si>
  <si>
    <t>LM4010005</t>
  </si>
  <si>
    <t>TRANSFORMERS 1987</t>
  </si>
  <si>
    <t>TR4010027</t>
  </si>
  <si>
    <t>DISTRIB SYS LIGHT PROD 1987</t>
  </si>
  <si>
    <t>LP4010005</t>
  </si>
  <si>
    <t>401-166720</t>
  </si>
  <si>
    <t>THERMAN POWER DOLLY</t>
  </si>
  <si>
    <t>L-116</t>
  </si>
  <si>
    <t>SPECIAL LIGHTING 1988</t>
  </si>
  <si>
    <t>SL4010002</t>
  </si>
  <si>
    <t>LIGHT METERS 1988</t>
  </si>
  <si>
    <t>LM4010010</t>
  </si>
  <si>
    <t>TRANSFORMERS 1988</t>
  </si>
  <si>
    <t>TR4010002</t>
  </si>
  <si>
    <t>LIGHT DIST SYSTEM 1988</t>
  </si>
  <si>
    <t>LDS401001</t>
  </si>
  <si>
    <t>401-164724</t>
  </si>
  <si>
    <t>WILLOW GLEN 25 MVA TRANSFORMER</t>
  </si>
  <si>
    <t>TR-WG401</t>
  </si>
  <si>
    <t>401-165721</t>
  </si>
  <si>
    <t>1989 C/D HOMEMADE TRAILER</t>
  </si>
  <si>
    <t>189</t>
  </si>
  <si>
    <t>SPECIAL LIGHTING 1989</t>
  </si>
  <si>
    <t>SL4010012</t>
  </si>
  <si>
    <t>LIGHT METERS 1989</t>
  </si>
  <si>
    <t>LM4010039</t>
  </si>
  <si>
    <t>TRANSFORMERS 1989</t>
  </si>
  <si>
    <t>TR4010003</t>
  </si>
  <si>
    <t>TR4010004</t>
  </si>
  <si>
    <t>DISTRIB SYS LIGHT PROD 1989</t>
  </si>
  <si>
    <t>LP4010011</t>
  </si>
  <si>
    <t>LIGHT DIST SYSTEM 1989</t>
  </si>
  <si>
    <t>LDS401003</t>
  </si>
  <si>
    <t>401-164725</t>
  </si>
  <si>
    <t>138 KV TIE LINES</t>
  </si>
  <si>
    <t>TR-KV401</t>
  </si>
  <si>
    <t>Tie Lines to Cleco</t>
  </si>
  <si>
    <t>1965 C/D CARGO TRAILER</t>
  </si>
  <si>
    <t>130</t>
  </si>
  <si>
    <t>LIGHT METERS 1990</t>
  </si>
  <si>
    <t>LM4010011</t>
  </si>
  <si>
    <t>LIGHT DIST SYSTEM 1990</t>
  </si>
  <si>
    <t>LDS401007</t>
  </si>
  <si>
    <t>TRANSFORMERS 1990</t>
  </si>
  <si>
    <t>TR4010043</t>
  </si>
  <si>
    <t>TR-KV402</t>
  </si>
  <si>
    <t>CASE 586E FORKLIFT</t>
  </si>
  <si>
    <t>194</t>
  </si>
  <si>
    <t>FAIRMONT CIRCULAR SAW</t>
  </si>
  <si>
    <t>90000172</t>
  </si>
  <si>
    <t>FAIRMONT CIRCULAR SAW H6300 D</t>
  </si>
  <si>
    <t>90000173</t>
  </si>
  <si>
    <t>4 YD REAR LOAD REFUSE CONT</t>
  </si>
  <si>
    <t>90000208</t>
  </si>
  <si>
    <t>90000209</t>
  </si>
  <si>
    <t>401-167710</t>
  </si>
  <si>
    <t>APERATURE CARD READER</t>
  </si>
  <si>
    <t>19346</t>
  </si>
  <si>
    <t>BUILDING IMPROVEMENTS 1991</t>
  </si>
  <si>
    <t>LP4010001</t>
  </si>
  <si>
    <t>DISTRIB SYS LIGHT PROD 1991</t>
  </si>
  <si>
    <t>LP4010010</t>
  </si>
  <si>
    <t>LP4010015</t>
  </si>
  <si>
    <t>TR-KV403</t>
  </si>
  <si>
    <t>128 KV TIE LINES</t>
  </si>
  <si>
    <t>TR-KV404</t>
  </si>
  <si>
    <t>DRAWER LATERAL LEGAL SIZE</t>
  </si>
  <si>
    <t>18840</t>
  </si>
  <si>
    <t>PAOLI  OAK CONFERENCE TABLE</t>
  </si>
  <si>
    <t>18839</t>
  </si>
  <si>
    <t>PAOLI 36X72  WALNUT DESK</t>
  </si>
  <si>
    <t>18870</t>
  </si>
  <si>
    <t>PAOLI WALNUT CREDENZA</t>
  </si>
  <si>
    <t>18873</t>
  </si>
  <si>
    <t>PAOLI WALNUT DESK 36 X 72</t>
  </si>
  <si>
    <t>18878</t>
  </si>
  <si>
    <t>18879</t>
  </si>
  <si>
    <t>SPECIAL LIGHTING 1991</t>
  </si>
  <si>
    <t>SL4010009</t>
  </si>
  <si>
    <t>LIGHT METERS 1991</t>
  </si>
  <si>
    <t>LM4010008</t>
  </si>
  <si>
    <t>TRANSFORMERS 1991</t>
  </si>
  <si>
    <t>TR4010012</t>
  </si>
  <si>
    <t>LIGHT DIST SYSTEM 1991</t>
  </si>
  <si>
    <t>LDS401006</t>
  </si>
  <si>
    <t>TR4010040</t>
  </si>
  <si>
    <t>FULL FEATURE SNIFFER MX800S - MC PRODUCTS</t>
  </si>
  <si>
    <t>17490</t>
  </si>
  <si>
    <t>UNDERGROUND PRIMARY</t>
  </si>
  <si>
    <t>LDS401011</t>
  </si>
  <si>
    <t>PCB STORAGE FACILITY 1992</t>
  </si>
  <si>
    <t>LP4010016</t>
  </si>
  <si>
    <t>AIR COMPRESSOR</t>
  </si>
  <si>
    <t>15577</t>
  </si>
  <si>
    <t>LINE EXTENSION &amp; IMPROVEMENTS 1992</t>
  </si>
  <si>
    <t>LP4010003</t>
  </si>
  <si>
    <t>PORTABLE LIQUITOTE TANK</t>
  </si>
  <si>
    <t>90000630</t>
  </si>
  <si>
    <t>90000631</t>
  </si>
  <si>
    <t>DIAMOND SAN MONITOR</t>
  </si>
  <si>
    <t>21453</t>
  </si>
  <si>
    <t>90000632</t>
  </si>
  <si>
    <t>CLARK FORKLIFT</t>
  </si>
  <si>
    <t>25</t>
  </si>
  <si>
    <t>DIELETRIC OIL TESTER</t>
  </si>
  <si>
    <t>21446</t>
  </si>
  <si>
    <t>OVERHEAD DOOR FURNISHED &amp; INSTALLED</t>
  </si>
  <si>
    <t>LDS401002</t>
  </si>
  <si>
    <t>DIGITAL CRANE SCALE</t>
  </si>
  <si>
    <t>18897</t>
  </si>
  <si>
    <t>ROBO IMPACT 7/16" DRILL &amp; CHARGER</t>
  </si>
  <si>
    <t>18888</t>
  </si>
  <si>
    <t>1993 TIGER H-D FLAIL MOWER</t>
  </si>
  <si>
    <t>219</t>
  </si>
  <si>
    <t>PHOENIX DRY ROD OVEN</t>
  </si>
  <si>
    <t>18985</t>
  </si>
  <si>
    <t>1993 INTERNATIONAL TRUCK</t>
  </si>
  <si>
    <t>V208</t>
  </si>
  <si>
    <t>1450 GAL VERTICAL STORAGE TANK</t>
  </si>
  <si>
    <t>90000683</t>
  </si>
  <si>
    <t>SPECIAL LIGHTING 1993</t>
  </si>
  <si>
    <t>SL4010017</t>
  </si>
  <si>
    <t>LIGHT METERS 1993</t>
  </si>
  <si>
    <t>LM4010019</t>
  </si>
  <si>
    <t>TRANSFORMERS 1993</t>
  </si>
  <si>
    <t>TR4010010</t>
  </si>
  <si>
    <t>LINE EXTENSION &amp; IMPROVEMENTS 1993</t>
  </si>
  <si>
    <t>LP4010017</t>
  </si>
  <si>
    <t>PCB STORAGE FAICLITY 1993</t>
  </si>
  <si>
    <t>LP4010027</t>
  </si>
  <si>
    <t>DISTRIB SYS LIGHT PROD 1993</t>
  </si>
  <si>
    <t>LP4010034</t>
  </si>
  <si>
    <t>UPGRADING OF DOWNTOWN 2.4 KV SERV</t>
  </si>
  <si>
    <t>LDS401009</t>
  </si>
  <si>
    <t>PCB TRANSFORMERS 1993</t>
  </si>
  <si>
    <t>TR4010028</t>
  </si>
  <si>
    <t>1993 CF'S 18FT. UTILITY TRAILER</t>
  </si>
  <si>
    <t>V204</t>
  </si>
  <si>
    <t>NILFISK WET/DRY HEPA VACUUM</t>
  </si>
  <si>
    <t>18946</t>
  </si>
  <si>
    <t>90000633</t>
  </si>
  <si>
    <t>#65 RECEIVER &amp; TRANSMITTER LINE LOCATOR</t>
  </si>
  <si>
    <t>22358</t>
  </si>
  <si>
    <t>VOLTAGE RECORDER W/PROBE &amp; COMM PKG</t>
  </si>
  <si>
    <t>22355</t>
  </si>
  <si>
    <t>SPECIAL LIGHTING 1994</t>
  </si>
  <si>
    <t>SL4010004</t>
  </si>
  <si>
    <t>LIGHT METERS 1994</t>
  </si>
  <si>
    <t>LM4010016</t>
  </si>
  <si>
    <t>TRANSFORMERS 1994</t>
  </si>
  <si>
    <t>TR4010006</t>
  </si>
  <si>
    <t>?</t>
  </si>
  <si>
    <t>Willow Glen Relocation</t>
  </si>
  <si>
    <t>DISTRIB SYS LIGHT PROD 1994</t>
  </si>
  <si>
    <t>LP4010020</t>
  </si>
  <si>
    <t>DOWNTOWN CONVERSION 1995</t>
  </si>
  <si>
    <t>LP4010032</t>
  </si>
  <si>
    <t>Conversion of Distribution Voltage</t>
  </si>
  <si>
    <t>LIGHT DIST SYSTEM 1994</t>
  </si>
  <si>
    <t>LDS401008</t>
  </si>
  <si>
    <t>ONE BURNDY Y750 HYDRAULIC HAND TOOL</t>
  </si>
  <si>
    <t>22456</t>
  </si>
  <si>
    <t>INFRARED LASER SCANNER</t>
  </si>
  <si>
    <t>22455</t>
  </si>
  <si>
    <t>1995 JOHN DEERE BACKHOE / BREAKER</t>
  </si>
  <si>
    <t>775</t>
  </si>
  <si>
    <t>TRANSFORMER TURN RATION TEST SET</t>
  </si>
  <si>
    <t>18440</t>
  </si>
  <si>
    <t>SPECIAL LIGHTING 1995</t>
  </si>
  <si>
    <t>SL4010001</t>
  </si>
  <si>
    <t>LIGHT METERS 1995</t>
  </si>
  <si>
    <t>LM4010004</t>
  </si>
  <si>
    <t>TRANSFORMERS 1995</t>
  </si>
  <si>
    <t>TR4010007</t>
  </si>
  <si>
    <t>DISTRIB SYS LIGHT PROD 1995</t>
  </si>
  <si>
    <t>LP4010033</t>
  </si>
  <si>
    <t>1996 INTERNATIONAL AERIAL LIFT TRUCK</t>
  </si>
  <si>
    <t>V220</t>
  </si>
  <si>
    <t>1997 JOHN DEERE 5400 TRACTOR</t>
  </si>
  <si>
    <t>965</t>
  </si>
  <si>
    <t>DESK</t>
  </si>
  <si>
    <t>21534</t>
  </si>
  <si>
    <t>MOTOROLA MTS 2000 PORTABLE RADIO 800M</t>
  </si>
  <si>
    <t>90000965</t>
  </si>
  <si>
    <t>4 DRAWER LEGAL FIRE CABINET</t>
  </si>
  <si>
    <t>21535</t>
  </si>
  <si>
    <t>401-161712</t>
  </si>
  <si>
    <t>LAND DOWNTOWN SUBSTATION</t>
  </si>
  <si>
    <t>LD401003</t>
  </si>
  <si>
    <t>SPECIAL LIGHTING 1996</t>
  </si>
  <si>
    <t>SL4010007</t>
  </si>
  <si>
    <t>LIGHT METERS 1996</t>
  </si>
  <si>
    <t>LM4010001</t>
  </si>
  <si>
    <t>TRANSFORMERS 1996</t>
  </si>
  <si>
    <t>TR4010005</t>
  </si>
  <si>
    <t>DISTRIB SYS LIGHT PROD 1996</t>
  </si>
  <si>
    <t>LP4010019</t>
  </si>
  <si>
    <t>HYDRAULIC CRIMPING TOOL</t>
  </si>
  <si>
    <t>90001046</t>
  </si>
  <si>
    <t>MODIFY RADIO TOWER FROM 120' TO 140'</t>
  </si>
  <si>
    <t>90001051</t>
  </si>
  <si>
    <t>18 CU FT REFRIGERATOR</t>
  </si>
  <si>
    <t>18578</t>
  </si>
  <si>
    <t>FAIRMONT HYDRAULIC TAMP</t>
  </si>
  <si>
    <t>90001053</t>
  </si>
  <si>
    <t>SHAMPOO &amp; BUFFER 20" MACHINE</t>
  </si>
  <si>
    <t>18309</t>
  </si>
  <si>
    <t>SPECIAL LIGHTING 1997</t>
  </si>
  <si>
    <t>SL4010010</t>
  </si>
  <si>
    <t>LIGHT METERS 1997</t>
  </si>
  <si>
    <t>LM4010007</t>
  </si>
  <si>
    <t>TRANSFORMERS 1997</t>
  </si>
  <si>
    <t>TR4010001</t>
  </si>
  <si>
    <t>STERKX ROAD SUBSTATION 1997</t>
  </si>
  <si>
    <t>SRS401001</t>
  </si>
  <si>
    <t>1995 - 1997 cost of Sterkx Road Substation Transformer</t>
  </si>
  <si>
    <t>DISTRIB SYS LIGHT PROD 1997</t>
  </si>
  <si>
    <t>LP4010030</t>
  </si>
  <si>
    <t>COUNTER PLUS FOR ELECTRIC METER TESTER SYSTEM</t>
  </si>
  <si>
    <t>90001158</t>
  </si>
  <si>
    <t>7) HASTINGS GROUNDING REEL</t>
  </si>
  <si>
    <t>22674</t>
  </si>
  <si>
    <t>KUBOTA LAWN MOWER G1800</t>
  </si>
  <si>
    <t>20466</t>
  </si>
  <si>
    <t>HERBICIDE SPRAYER</t>
  </si>
  <si>
    <t>1004</t>
  </si>
  <si>
    <t>SPECIAL LIGHTING 1998</t>
  </si>
  <si>
    <t>SL4010047</t>
  </si>
  <si>
    <t>FAIR 1/2 IMPACT WRENCH</t>
  </si>
  <si>
    <t>21635</t>
  </si>
  <si>
    <t>21636</t>
  </si>
  <si>
    <t>SL4010048</t>
  </si>
  <si>
    <t>BUDD CONSTRUCTION CIP 1998</t>
  </si>
  <si>
    <t>LP4010036</t>
  </si>
  <si>
    <t>COMPAQ - ARMADA LAPTOP COMPUTER</t>
  </si>
  <si>
    <t>21631</t>
  </si>
  <si>
    <t>DISTRIB SYS LIGHT PROD 1998</t>
  </si>
  <si>
    <t>LP4010040</t>
  </si>
  <si>
    <t>DISTRIB SYS LIGHT PROD CIP 1998</t>
  </si>
  <si>
    <t>LP4010047</t>
  </si>
  <si>
    <t>SL4010027</t>
  </si>
  <si>
    <t>LIGHT METERS 1998</t>
  </si>
  <si>
    <t>LM4010029</t>
  </si>
  <si>
    <t>TRANSFORMERS 1998</t>
  </si>
  <si>
    <t>TR4010013</t>
  </si>
  <si>
    <t>STERKX ROAD SUBSTATION 1998</t>
  </si>
  <si>
    <t>SRS401003</t>
  </si>
  <si>
    <t>Sterkx Road Substation Transformer</t>
  </si>
  <si>
    <t>HI-BOY AIRLESS SPRAY PAINT KIT</t>
  </si>
  <si>
    <t>21643</t>
  </si>
  <si>
    <t>POLE CHANGE AND RELOCATION</t>
  </si>
  <si>
    <t>LDS401013</t>
  </si>
  <si>
    <t>TITLE I-49 LIGHTING</t>
  </si>
  <si>
    <t>LDS401014</t>
  </si>
  <si>
    <t>MANITOWA ICE MACHINE - QD0803W</t>
  </si>
  <si>
    <t>22675</t>
  </si>
  <si>
    <t>HAMMER DRILL F10</t>
  </si>
  <si>
    <t>22676</t>
  </si>
  <si>
    <t>B&amp;S AIR COMPRESSOR 8HP MODEL</t>
  </si>
  <si>
    <t>1047</t>
  </si>
  <si>
    <t>UNDERGROUND LEVELWIND ATTACHMENT FOR TENSIONER/PUL</t>
  </si>
  <si>
    <t>V1042A</t>
  </si>
  <si>
    <t>T30/36 BWRC &amp; DPT30B FINAL</t>
  </si>
  <si>
    <t>V1043A</t>
  </si>
  <si>
    <t>HONDA GENERATOR EB6500SXA</t>
  </si>
  <si>
    <t>1041</t>
  </si>
  <si>
    <t>SYSTEM ADDITIONS 1999 - CIP</t>
  </si>
  <si>
    <t>LDS401070</t>
  </si>
  <si>
    <t>LDS401071</t>
  </si>
  <si>
    <t>IBM CPU 300PL</t>
  </si>
  <si>
    <t>23280</t>
  </si>
  <si>
    <t>INWOOD DESK CF1272</t>
  </si>
  <si>
    <t>23333</t>
  </si>
  <si>
    <t>CRIMPING TOOL</t>
  </si>
  <si>
    <t>22679</t>
  </si>
  <si>
    <t>DISTRIB SYS LIGHT PROD CIP 1999</t>
  </si>
  <si>
    <t>LP4010048</t>
  </si>
  <si>
    <t>LIGHT METERS 1999</t>
  </si>
  <si>
    <t>LM4010023</t>
  </si>
  <si>
    <t>TRANSFORMERS 1999</t>
  </si>
  <si>
    <t>TR4010023</t>
  </si>
  <si>
    <t>LIGHT DIST SYSTEM 1999</t>
  </si>
  <si>
    <t>LDS401012</t>
  </si>
  <si>
    <t>LDS401015</t>
  </si>
  <si>
    <t>TR4010049</t>
  </si>
  <si>
    <t>SPECIAL LIGHTING 2000</t>
  </si>
  <si>
    <t>SL4010046</t>
  </si>
  <si>
    <t>LIGHT METERS 2000</t>
  </si>
  <si>
    <t>LM4010040</t>
  </si>
  <si>
    <t>SYSTEM ADDITIONS 2000 - CIP</t>
  </si>
  <si>
    <t>LDS401073</t>
  </si>
  <si>
    <t>LIGHT DIST SYSTEM 2000</t>
  </si>
  <si>
    <t>LDS401074</t>
  </si>
  <si>
    <t>TRANSFORMER 2000</t>
  </si>
  <si>
    <t>TR4010050</t>
  </si>
  <si>
    <t>401-164726</t>
  </si>
  <si>
    <t>DOWNTOWN SUBSTATION 2000</t>
  </si>
  <si>
    <t>SUB000001</t>
  </si>
  <si>
    <t>23261</t>
  </si>
  <si>
    <t>IBM MONITOR PT500</t>
  </si>
  <si>
    <t>23286</t>
  </si>
  <si>
    <t>23289</t>
  </si>
  <si>
    <t>23290</t>
  </si>
  <si>
    <t>KEARNEY 12 TON BATTERY-POWERED CRIMPING F10-EK120K</t>
  </si>
  <si>
    <t>23308</t>
  </si>
  <si>
    <t>IBM LAPTOP TP390</t>
  </si>
  <si>
    <t>23309</t>
  </si>
  <si>
    <t>OFS MAHOGANY DESK 30-6630</t>
  </si>
  <si>
    <t>23275</t>
  </si>
  <si>
    <t>23276</t>
  </si>
  <si>
    <t>SPECIAL LIGHTING 2001</t>
  </si>
  <si>
    <t>SL4010044</t>
  </si>
  <si>
    <t>RADIOS FOR NEW VEHICLES 2001</t>
  </si>
  <si>
    <t>D23437</t>
  </si>
  <si>
    <t>RADIO SYSTEM UPGRADE 2001</t>
  </si>
  <si>
    <t>D23438</t>
  </si>
  <si>
    <t>2) SAFETY POLE TONG</t>
  </si>
  <si>
    <t>D23439</t>
  </si>
  <si>
    <t>STANLEY IMPACT WRENCH l DO4</t>
  </si>
  <si>
    <t>D23440</t>
  </si>
  <si>
    <t>2)VS-3 80-300VOLT &amp; CURRENT MOTOR</t>
  </si>
  <si>
    <t>D23441</t>
  </si>
  <si>
    <t>LANDA HOT WATER WASHER VNG4-20021</t>
  </si>
  <si>
    <t>22194</t>
  </si>
  <si>
    <t>HEATING UNIT W/ REMOTE THERMOSTAT</t>
  </si>
  <si>
    <t>D23442</t>
  </si>
  <si>
    <t>SURGE ARRESTER TESTER HISAT-5</t>
  </si>
  <si>
    <t>23340</t>
  </si>
  <si>
    <t>LIGHT METERS 2001</t>
  </si>
  <si>
    <t>LM4010041</t>
  </si>
  <si>
    <t>TRANSFORMERS 2001</t>
  </si>
  <si>
    <t>TR4011028</t>
  </si>
  <si>
    <t>LIGHT DIST SYSTEM 2001</t>
  </si>
  <si>
    <t>LDS401075</t>
  </si>
  <si>
    <t>TR4010051</t>
  </si>
  <si>
    <t>IBM MONITOR P76</t>
  </si>
  <si>
    <t>100278</t>
  </si>
  <si>
    <t>GENERAL 36" WATER-COOLED FAN PAC2K363S</t>
  </si>
  <si>
    <t>100282</t>
  </si>
  <si>
    <t>2) SILENT WITNESS CAMERAS V-60</t>
  </si>
  <si>
    <t>D100437</t>
  </si>
  <si>
    <t>2001 FORD TRUCK  F150</t>
  </si>
  <si>
    <t>V1290</t>
  </si>
  <si>
    <t>DITCH WITCH LOCATOR 950R  &amp; TRANSMITTER 950T</t>
  </si>
  <si>
    <t>100285</t>
  </si>
  <si>
    <t>ADVANCE 15 LIGHT ARROW BOARD W/PHOTO WWAW15SB-STD</t>
  </si>
  <si>
    <t>1304</t>
  </si>
  <si>
    <t>2002 POLE &amp; CARGO TRAILER C10 - COMBINATION</t>
  </si>
  <si>
    <t>1305</t>
  </si>
  <si>
    <t>IBM WHEELWRITER #1500</t>
  </si>
  <si>
    <t>100284</t>
  </si>
  <si>
    <t>GREENLEE FAIRMOUNT TAMPER 72" W/ VALVE</t>
  </si>
  <si>
    <t>D100438</t>
  </si>
  <si>
    <t>IBM MONITOR P275</t>
  </si>
  <si>
    <t>100280</t>
  </si>
  <si>
    <t>401-165050</t>
  </si>
  <si>
    <t>CASCADE SOFTWARE &amp; MAINT, LICENSES</t>
  </si>
  <si>
    <t>D100439</t>
  </si>
  <si>
    <t>SIMPSON EGER OHM METER 505</t>
  </si>
  <si>
    <t>100281</t>
  </si>
  <si>
    <t>ACRA MILL MILLING MACHINE 5 HP #SK914-7</t>
  </si>
  <si>
    <t>100268</t>
  </si>
  <si>
    <t>RONAN ANNUNICATOR SYSTEM FOR #3 MOD# ROX11</t>
  </si>
  <si>
    <t>D100687</t>
  </si>
  <si>
    <t>SPECIAL LIGHTING  2002</t>
  </si>
  <si>
    <t>SL4010045</t>
  </si>
  <si>
    <t>LIGHT METERS 2002</t>
  </si>
  <si>
    <t>LM4010042</t>
  </si>
  <si>
    <t>LIGHT DIST SYSTEM 2002</t>
  </si>
  <si>
    <t>LDS401076</t>
  </si>
  <si>
    <t>SYSTEM ADDITIONS 2002 - CIP</t>
  </si>
  <si>
    <t>LDS401077</t>
  </si>
  <si>
    <t>LDS401078</t>
  </si>
  <si>
    <t>TRANSFORMERS 2002</t>
  </si>
  <si>
    <t>TR4010052</t>
  </si>
  <si>
    <t>INSTALLATION OF SECURITY CAMERA</t>
  </si>
  <si>
    <t>D100563</t>
  </si>
  <si>
    <t>ENGINEERING PROJECT MANAGEMENT</t>
  </si>
  <si>
    <t>D101009</t>
  </si>
  <si>
    <t>PORSCHE MILLENNIUM HARDWARE UPGRADE</t>
  </si>
  <si>
    <t>D101011</t>
  </si>
  <si>
    <t>IBM THINKPAD</t>
  </si>
  <si>
    <t>100656</t>
  </si>
  <si>
    <t>MILLER MATIC WELDING MACHINE #210</t>
  </si>
  <si>
    <t>100972</t>
  </si>
  <si>
    <t>HP DIGITAL CAMERA PHOTOSMART</t>
  </si>
  <si>
    <t>100975</t>
  </si>
  <si>
    <t>FAIRMOUNT PIPE TAMP</t>
  </si>
  <si>
    <t>100976</t>
  </si>
  <si>
    <t>COLOR CAMERA w/ LENS &amp; MOUNTING BRACKETS</t>
  </si>
  <si>
    <t>D101035</t>
  </si>
  <si>
    <t>HORIZONTAL BANDSAW W/MOTOR HBS-916A</t>
  </si>
  <si>
    <t>100642</t>
  </si>
  <si>
    <t>SPECIAL LIGHTING  2003</t>
  </si>
  <si>
    <t>LIGHT METERS 2003</t>
  </si>
  <si>
    <t>LM4010043</t>
  </si>
  <si>
    <t>401-163818</t>
  </si>
  <si>
    <t>BAYOU RAPIDES SUBSTATION</t>
  </si>
  <si>
    <t>BRS401001</t>
  </si>
  <si>
    <t>Assumes "Bayou Rapides Substation Transformer" included in this line item.</t>
  </si>
  <si>
    <t>SYSTEM ADDITIONS 2003</t>
  </si>
  <si>
    <t>LDS401079</t>
  </si>
  <si>
    <t>TRANSFORMERS 2003</t>
  </si>
  <si>
    <t>TR4010053</t>
  </si>
  <si>
    <t>TR-TB40102</t>
  </si>
  <si>
    <t>Cost of 138 kV line installed in 2003. Assume this captures the line item entitled "Additional 138 KV Tieline from Twin Bridges"</t>
  </si>
  <si>
    <t>NEC LCD MONITOR L180P</t>
  </si>
  <si>
    <t>101315</t>
  </si>
  <si>
    <t>IBM  MONITOR T860</t>
  </si>
  <si>
    <t>100977</t>
  </si>
  <si>
    <t>IBM NETVISTA M42</t>
  </si>
  <si>
    <t>100978</t>
  </si>
  <si>
    <t>2003 FORD TRUCK F150</t>
  </si>
  <si>
    <t>V1381</t>
  </si>
  <si>
    <t>INSTALL 6 COLOR CAMERAS W/ 8MM LENS, POWER SUPPLIE</t>
  </si>
  <si>
    <t>D101546</t>
  </si>
  <si>
    <t>950R SUBSITE RECEIVER</t>
  </si>
  <si>
    <t>101321</t>
  </si>
  <si>
    <t>950T SUBSITE TRANSMITTER</t>
  </si>
  <si>
    <t>101322</t>
  </si>
  <si>
    <t>ELECTRONIC MARKER LOCATOR</t>
  </si>
  <si>
    <t>101323</t>
  </si>
  <si>
    <t>FAIRMOUNT CIRCULAR SAW F10-43180</t>
  </si>
  <si>
    <t>101319</t>
  </si>
  <si>
    <t>PHAZER AUTOMATIC METER TEST SYSTEM J120</t>
  </si>
  <si>
    <t>101314</t>
  </si>
  <si>
    <t>A-BASE ADAPTER (QUICK CONNECT)</t>
  </si>
  <si>
    <t>101325</t>
  </si>
  <si>
    <t>IBM CPU TOWER A40</t>
  </si>
  <si>
    <t>101307</t>
  </si>
  <si>
    <t>IBM THINKVISION MONITOR T860</t>
  </si>
  <si>
    <t>101308</t>
  </si>
  <si>
    <t>FAIRMOUNT HYD CRIMPING TOOL 12 TON</t>
  </si>
  <si>
    <t>101318</t>
  </si>
  <si>
    <t>FAIRMONT IMPACT WRENCH F-10 H8508</t>
  </si>
  <si>
    <t>101320</t>
  </si>
  <si>
    <t>GASOLINE DRIVEN POWER HOIST W/CLAMPS</t>
  </si>
  <si>
    <t>101394</t>
  </si>
  <si>
    <t>AUTOCAD 2004 LICENSE - NEW STANDALONE 4 EA</t>
  </si>
  <si>
    <t>D101547</t>
  </si>
  <si>
    <t>12'  DUMP TRAILER W/SPARE WHEEL &amp; TIRE</t>
  </si>
  <si>
    <t>1393</t>
  </si>
  <si>
    <t>ELECTRIC HOIST W/ TROLLEY  1/2 TON</t>
  </si>
  <si>
    <t>101302</t>
  </si>
  <si>
    <t>101303</t>
  </si>
  <si>
    <t>SPECIAL LIGHTING  2004</t>
  </si>
  <si>
    <t>LIGHT METERS 2004</t>
  </si>
  <si>
    <t>LM4010044</t>
  </si>
  <si>
    <t>SYSTEM ADDITIONS 2004</t>
  </si>
  <si>
    <t>LDS401080</t>
  </si>
  <si>
    <t>TRANSFORMERS 2004</t>
  </si>
  <si>
    <t>TR4010054</t>
  </si>
  <si>
    <t>SELF PROP LAWN MOWER 626SP</t>
  </si>
  <si>
    <t>1395</t>
  </si>
  <si>
    <t>HP OFFICEJET  7130 ALL IN ONE PRINTER</t>
  </si>
  <si>
    <t>101309</t>
  </si>
  <si>
    <t>IBM THINKVISON L170P MONITOR</t>
  </si>
  <si>
    <t>101311</t>
  </si>
  <si>
    <t>IBM PCI TOWER A50</t>
  </si>
  <si>
    <t>101312</t>
  </si>
  <si>
    <t>IBM INTELL CPU TP T40P</t>
  </si>
  <si>
    <t>101324</t>
  </si>
  <si>
    <t>FAIRMOUNT HYDRAULIC IMPACT WRENCH</t>
  </si>
  <si>
    <t>102375</t>
  </si>
  <si>
    <t>HPCOMPAQ TABLET PC TC1100</t>
  </si>
  <si>
    <t>101490</t>
  </si>
  <si>
    <t>IBM INTELLSTATION M PRO CPU</t>
  </si>
  <si>
    <t>101642</t>
  </si>
  <si>
    <t>IBM THINKVISION L200P MONITOR</t>
  </si>
  <si>
    <t>101646</t>
  </si>
  <si>
    <t>IBM THINKVISION MONITOR L180P</t>
  </si>
  <si>
    <t>101647</t>
  </si>
  <si>
    <t>101648</t>
  </si>
  <si>
    <t>IBM THINKCENTER M50 CPU</t>
  </si>
  <si>
    <t>102374</t>
  </si>
  <si>
    <t>2005 INTERNATIONAL 4300 CAB &amp; CHASSIS</t>
  </si>
  <si>
    <t>V1442</t>
  </si>
  <si>
    <t>IBM THINKVISION MONITOR L190P</t>
  </si>
  <si>
    <t>101706</t>
  </si>
  <si>
    <t>101707</t>
  </si>
  <si>
    <t>101709</t>
  </si>
  <si>
    <t>101710</t>
  </si>
  <si>
    <t>IBM THINKCENTER M50</t>
  </si>
  <si>
    <t>101713</t>
  </si>
  <si>
    <t>DUCT PR0OFING TOOL 71130-SRS w/ DUCT ROD</t>
  </si>
  <si>
    <t>102243</t>
  </si>
  <si>
    <t>FAT - SOFTWARE ENHANCEMENTS</t>
  </si>
  <si>
    <t>D102761</t>
  </si>
  <si>
    <t>FAIRMOUNT HYDRAULIC TAMPER 72"</t>
  </si>
  <si>
    <t>102245</t>
  </si>
  <si>
    <t>RMF BLACK LEATHER CHAIR</t>
  </si>
  <si>
    <t>102225</t>
  </si>
  <si>
    <t>HYDRAULIC REEL TRAILER - SLABACH</t>
  </si>
  <si>
    <t>5080</t>
  </si>
  <si>
    <t>SARIO 24" MOWER 624SPSW CLASSIC</t>
  </si>
  <si>
    <t>102221</t>
  </si>
  <si>
    <t>2005 FORD TRUCK F150 EXTENDED CAB</t>
  </si>
  <si>
    <t>V1430</t>
  </si>
  <si>
    <t>CHAINSAW MS880M 36" SAW</t>
  </si>
  <si>
    <t>102230</t>
  </si>
  <si>
    <t>PRINT CONTROLLER MIPS R4700 PROCESSOR</t>
  </si>
  <si>
    <t>102229</t>
  </si>
  <si>
    <t>F10 BATTERY CRIMPING TOOL EK1240 W/CHARGER</t>
  </si>
  <si>
    <t>102244</t>
  </si>
  <si>
    <t>102223</t>
  </si>
  <si>
    <t>IBM FLAT CONSOLE KIT W/KEYBOARD L170P MONTIOR</t>
  </si>
  <si>
    <t>102227</t>
  </si>
  <si>
    <t>HANDS-FREE WIRE LUBRICATING SYSTEM</t>
  </si>
  <si>
    <t>102228</t>
  </si>
  <si>
    <t>SPECIAL LIGHTING 2005</t>
  </si>
  <si>
    <t>SYSTEM ADDITIONS 2005</t>
  </si>
  <si>
    <t>LDS401081</t>
  </si>
  <si>
    <t>TRANSFORMERS 2005</t>
  </si>
  <si>
    <t>TR4010055</t>
  </si>
  <si>
    <t>ALTEC AERIAL FINAL ASSEMBLY BUCKET AA755-MH</t>
  </si>
  <si>
    <t>V1442A</t>
  </si>
  <si>
    <t>V1453</t>
  </si>
  <si>
    <t>LIGHT METERS 2005</t>
  </si>
  <si>
    <t>LM4010045</t>
  </si>
  <si>
    <t>APC NETSHELTER VX25U ENCLOSURE</t>
  </si>
  <si>
    <t>102855</t>
  </si>
  <si>
    <t>401-165711</t>
  </si>
  <si>
    <t>2006 FORD TRUCK F250</t>
  </si>
  <si>
    <t>V1469</t>
  </si>
  <si>
    <t>EXCAVATION UNIT HYD BLOWER -VACTRAILER-PIPEHUNTER</t>
  </si>
  <si>
    <t>1476</t>
  </si>
  <si>
    <t>FURNISH &amp; INSTALL BATTERY BANK SYSTEM</t>
  </si>
  <si>
    <t>102853</t>
  </si>
  <si>
    <t>102854</t>
  </si>
  <si>
    <t>2006 HD 16' PIPE UTILITY TRAILER  16EHDP7K</t>
  </si>
  <si>
    <t>V1502</t>
  </si>
  <si>
    <t xml:space="preserve"> HYDRAULIC TAMPERS  #14263</t>
  </si>
  <si>
    <t>102856</t>
  </si>
  <si>
    <t>102857</t>
  </si>
  <si>
    <t>REMOVE &amp; REPLACE METAL ROOFING,SIDING,DOORS,WINDOW</t>
  </si>
  <si>
    <t>D103214</t>
  </si>
  <si>
    <t>Power Plant FY 2006 - CIP</t>
  </si>
  <si>
    <t>PP4010025</t>
  </si>
  <si>
    <t>SCADA System Upgrade</t>
  </si>
  <si>
    <t>SPECIAL LIGHTING 2006</t>
  </si>
  <si>
    <t>SL4010049</t>
  </si>
  <si>
    <t>LIGHT METERS 2006</t>
  </si>
  <si>
    <t>LM4010046</t>
  </si>
  <si>
    <t>SYSTEM ADDITIONS 2006</t>
  </si>
  <si>
    <t>LDS401082</t>
  </si>
  <si>
    <t>SYSTEM ADDITONS 2006 - CIP</t>
  </si>
  <si>
    <t>LDS401083</t>
  </si>
  <si>
    <t>138 KV Pole Changeout</t>
  </si>
  <si>
    <t>LDS401084</t>
  </si>
  <si>
    <t>Circuit Reconductoring</t>
  </si>
  <si>
    <t>TRANSFORMERS 2006</t>
  </si>
  <si>
    <t>TR4010056</t>
  </si>
  <si>
    <t>6000 WATT DIESEL GENERATOR - STORM SUPPLY TRAILER</t>
  </si>
  <si>
    <t>103361</t>
  </si>
  <si>
    <t>2006 KOMATSU MINI EXCAVATOR, 12" BUCKET</t>
  </si>
  <si>
    <t>1522</t>
  </si>
  <si>
    <t>THERMO KING ENCLOSED TRAILER 8X48</t>
  </si>
  <si>
    <t>1527</t>
  </si>
  <si>
    <t>HP COMPAQ dc7600 CMT BASE UNIT</t>
  </si>
  <si>
    <t>103039</t>
  </si>
  <si>
    <t>HP COMPAQ L1906 LCD MONITOR</t>
  </si>
  <si>
    <t>103040</t>
  </si>
  <si>
    <t>103041</t>
  </si>
  <si>
    <t>103042</t>
  </si>
  <si>
    <t>LINCOLN PRO-CUT 80 PLASMA CUTTER K1581-2</t>
  </si>
  <si>
    <t>103368</t>
  </si>
  <si>
    <t>OLEVIA 27" LCD MONITOR</t>
  </si>
  <si>
    <t>103352</t>
  </si>
  <si>
    <t>2007 INTERNATIONAL 4300 BUCKET TRUCK /ALTEC L37M</t>
  </si>
  <si>
    <t>V1546</t>
  </si>
  <si>
    <t>2007 FORD DIESEL TRUCK F250</t>
  </si>
  <si>
    <t>V1554</t>
  </si>
  <si>
    <t>V1555</t>
  </si>
  <si>
    <t>2007 INTERNATIONAL 4300 BUCKET  W/DM-47 DIGGER</t>
  </si>
  <si>
    <t>V1528</t>
  </si>
  <si>
    <t>LSP 28300 G700 TELEPHONE EQUIP - MEDIA GATEWAY</t>
  </si>
  <si>
    <t>103364</t>
  </si>
  <si>
    <t>HP OFFICEJET ALL-IN-ONE 7310 PRINTER</t>
  </si>
  <si>
    <t>103354</t>
  </si>
  <si>
    <t>HP DESKJET  6940  PRINTER</t>
  </si>
  <si>
    <t>103359</t>
  </si>
  <si>
    <t>HARDWARE,TELEPHONY BOARD,CALLER ID BOX</t>
  </si>
  <si>
    <t>103366</t>
  </si>
  <si>
    <t>103369</t>
  </si>
  <si>
    <t>LODESTAR ELECTRIC CHAIN HOIST - 2000 LB</t>
  </si>
  <si>
    <t>D103453</t>
  </si>
  <si>
    <t>RIGID ST-510 TRANSMITTER</t>
  </si>
  <si>
    <t>103362</t>
  </si>
  <si>
    <t>RIGID SEEK TECH SR-20 LOCATOR</t>
  </si>
  <si>
    <t>103363</t>
  </si>
  <si>
    <t>FIELD DESIGNER PACKAGE SOFTWARE</t>
  </si>
  <si>
    <t>D103454</t>
  </si>
  <si>
    <t>PANASONIC TOUGHBOOK 19 CU2400</t>
  </si>
  <si>
    <t>103351</t>
  </si>
  <si>
    <t>PANASONIC TOUGHBOOK 30 CT2300</t>
  </si>
  <si>
    <t>103353</t>
  </si>
  <si>
    <t>HP COMPAQ XW4400 WORKSTATION</t>
  </si>
  <si>
    <t>103358</t>
  </si>
  <si>
    <t>EAGLE 120 PLUG-IN POWER MONITOR &amp; MEMORY UPGRADE</t>
  </si>
  <si>
    <t>103360</t>
  </si>
  <si>
    <t>GOODWAY 13 HP WASHER  2500</t>
  </si>
  <si>
    <t>103370</t>
  </si>
  <si>
    <t>Power Plant FY 2007 - CIP</t>
  </si>
  <si>
    <t>PP4010026</t>
  </si>
  <si>
    <t>SPECIAL LIGHTING 2007</t>
  </si>
  <si>
    <t>SL4010050</t>
  </si>
  <si>
    <t>LIGHT METERS 2007</t>
  </si>
  <si>
    <t>LM4010047</t>
  </si>
  <si>
    <t>SYSTEM ADDITIONS 2007</t>
  </si>
  <si>
    <t>LDS401085</t>
  </si>
  <si>
    <t>SYSTEM ADDITIONS 2007 - CIP</t>
  </si>
  <si>
    <t>LDS401086</t>
  </si>
  <si>
    <t>$534,939 - Trans (Pole Change Out) and $1,004,704 - Dist.(Circuit Reconductoring)</t>
  </si>
  <si>
    <t>TRANSFORMERS 2007</t>
  </si>
  <si>
    <t>TR4010057</t>
  </si>
  <si>
    <t>KURT VISE MILLING MACHINE D-810</t>
  </si>
  <si>
    <t>103480</t>
  </si>
  <si>
    <t>2007 FREIGTHLINER  55' AERIAL LIFT DEVICE BUCKET</t>
  </si>
  <si>
    <t>V1592</t>
  </si>
  <si>
    <t>HP MINI TOWER DC7700 CONVERTABLE</t>
  </si>
  <si>
    <t>103478</t>
  </si>
  <si>
    <t>JET ZX LATHE 10HP 230V 3P  22X80</t>
  </si>
  <si>
    <t>103479</t>
  </si>
  <si>
    <t>2008 FORD TRUCK F150</t>
  </si>
  <si>
    <t>V1633</t>
  </si>
  <si>
    <t>2008 FORD TRUCK F250</t>
  </si>
  <si>
    <t>V1636</t>
  </si>
  <si>
    <t>BILLY GOAT MULTI-VAC OUTDOOR VACUUM</t>
  </si>
  <si>
    <t>1627</t>
  </si>
  <si>
    <t>PATRIOT - CRIMPER 18 V  - CRIMPING TOOL</t>
  </si>
  <si>
    <t>103482</t>
  </si>
  <si>
    <t>MILLER BOBCAT 250 WELDING MACHINE</t>
  </si>
  <si>
    <t>1632</t>
  </si>
  <si>
    <t>FURNISH &amp; INSTALL GAS FURNANCE</t>
  </si>
  <si>
    <t>D103862</t>
  </si>
  <si>
    <t>D103863</t>
  </si>
  <si>
    <t>IRIDIUM SATELLITE PHONE 9505A</t>
  </si>
  <si>
    <t>102713</t>
  </si>
  <si>
    <t>102714</t>
  </si>
  <si>
    <t>HP DC7800 DESKTOP</t>
  </si>
  <si>
    <t>103485</t>
  </si>
  <si>
    <t>2008  FORD TRUCK F250</t>
  </si>
  <si>
    <t>V1650</t>
  </si>
  <si>
    <t>HP COMPAQ 2710P NOTEBOOK PC</t>
  </si>
  <si>
    <t>103594</t>
  </si>
  <si>
    <t>103595</t>
  </si>
  <si>
    <t>Power Plant FY 2008 - CIP</t>
  </si>
  <si>
    <t>PP4010027</t>
  </si>
  <si>
    <t>SPECIAL LIGHTING 2008</t>
  </si>
  <si>
    <t>SL4010051</t>
  </si>
  <si>
    <t>SPECIAL LIGHTING 2008 - CAP PROJ</t>
  </si>
  <si>
    <t>Arterial Street Lighting Addition</t>
  </si>
  <si>
    <t>LIGHT METERS 2008</t>
  </si>
  <si>
    <t>LM4010048</t>
  </si>
  <si>
    <t>SYSTEM ADDITIONS 2008</t>
  </si>
  <si>
    <t>LDS401087</t>
  </si>
  <si>
    <t>SYSTEM ADDITIONS 2008-CAP PROJ</t>
  </si>
  <si>
    <t>LDS401087A</t>
  </si>
  <si>
    <t>LDS401087B</t>
  </si>
  <si>
    <t>TRANSFORMERS 2008</t>
  </si>
  <si>
    <t>TR4010058</t>
  </si>
  <si>
    <t>5X14 SWG UTILITY TRAILER - SINGLE AXLE</t>
  </si>
  <si>
    <t>1652</t>
  </si>
  <si>
    <t>BURNDYS PATRIOT - CRIMPING TOOL 18V</t>
  </si>
  <si>
    <t>103483</t>
  </si>
  <si>
    <t>HP L2465 LCD MONITOR</t>
  </si>
  <si>
    <t>103475</t>
  </si>
  <si>
    <t>103477</t>
  </si>
  <si>
    <t>SYSTEM ADDITIONS 2009</t>
  </si>
  <si>
    <t>LDS401088</t>
  </si>
  <si>
    <t>METAL BUILDING SHED</t>
  </si>
  <si>
    <t>104008</t>
  </si>
  <si>
    <t>HP COMPAQ WORKSTATION XW6600</t>
  </si>
  <si>
    <t>103484</t>
  </si>
  <si>
    <t>2008 INTERNATIONAL 4300  55' BUCKET TRUCK</t>
  </si>
  <si>
    <t>V1657</t>
  </si>
  <si>
    <t>2008 FORD TRUCK F150 4-DOOR CREW CAB</t>
  </si>
  <si>
    <t>V1680</t>
  </si>
  <si>
    <t>2008 FORD TRUCK F150 EXT CREW CAB</t>
  </si>
  <si>
    <t>V1681</t>
  </si>
  <si>
    <t>WAREHOUSE WASHRACK</t>
  </si>
  <si>
    <t>104007</t>
  </si>
  <si>
    <t>TURF TIGER SCAG MOWER 35HP VANGAURD</t>
  </si>
  <si>
    <t>1655</t>
  </si>
  <si>
    <t>HP COMPAQ  DESKTOP DC7800</t>
  </si>
  <si>
    <t>104000</t>
  </si>
  <si>
    <t>HP ELITEBOOK WORKSTATION 8730W</t>
  </si>
  <si>
    <t>103993</t>
  </si>
  <si>
    <t>2009 INTERNATIONAL 4300 37' BUCKET TRUCK</t>
  </si>
  <si>
    <t>V1722</t>
  </si>
  <si>
    <t>HP ELITEBOOK NOTEBOOK 8530P</t>
  </si>
  <si>
    <t>103983</t>
  </si>
  <si>
    <t>HP COMPAQ MINITOWER DC7900</t>
  </si>
  <si>
    <t>104045</t>
  </si>
  <si>
    <t>HP LCD MONITOR LP2465</t>
  </si>
  <si>
    <t>103998</t>
  </si>
  <si>
    <t>103999</t>
  </si>
  <si>
    <t>ROTARY IMPACT HAMMER DRILL HID6506</t>
  </si>
  <si>
    <t>104034</t>
  </si>
  <si>
    <t>STREET LIGHTS 2009</t>
  </si>
  <si>
    <t>SL4010052</t>
  </si>
  <si>
    <t>SPECIAL LIGHTING 2009 - CAP PROJ</t>
  </si>
  <si>
    <t>SL4010053</t>
  </si>
  <si>
    <t>LIGHT METERS 2009</t>
  </si>
  <si>
    <t>LM4010049</t>
  </si>
  <si>
    <t>SYSTEM ADDITIONS 2009 - CAP PROJ</t>
  </si>
  <si>
    <t>LDS401089</t>
  </si>
  <si>
    <t>$75,543 - Trans. (138 KV Pole Changeout) + $154,058 - Dist. (Circuit Reconductoring)</t>
  </si>
  <si>
    <t>TRANSFORMERS 2009</t>
  </si>
  <si>
    <t>TR4010059</t>
  </si>
  <si>
    <t>HP COMPAQ DESKTOP DC7900</t>
  </si>
  <si>
    <t>104005</t>
  </si>
  <si>
    <t>VOICE RECORDER - AX2000</t>
  </si>
  <si>
    <t>104112</t>
  </si>
  <si>
    <t>NET DATA ACQISITION &amp; HANDLING SYSTEMS</t>
  </si>
  <si>
    <t>D104087</t>
  </si>
  <si>
    <t>2009  FORD TRUCK F750</t>
  </si>
  <si>
    <t>V1753</t>
  </si>
  <si>
    <t>TELELECT AERIAL LIFT DEVICE W / SERVICE BODY FC55</t>
  </si>
  <si>
    <t>V1753A</t>
  </si>
  <si>
    <t>SKYLIFT BACKYARD MINI-DERRICK 5000</t>
  </si>
  <si>
    <t>1768</t>
  </si>
  <si>
    <t>2009 CF's 18' BLACK TRAILER - 18EHD52</t>
  </si>
  <si>
    <t>1770</t>
  </si>
  <si>
    <t>VELCOM TRANSFORMER OIL FILTRATION SYSTEM</t>
  </si>
  <si>
    <t>104116</t>
  </si>
  <si>
    <t>2009 KUBOTA MOWER - ZG222-48</t>
  </si>
  <si>
    <t>1783</t>
  </si>
  <si>
    <t>HP ProBook - NOTEBOOK PC 5310m</t>
  </si>
  <si>
    <t>104104</t>
  </si>
  <si>
    <t>LIGHT METERS 2010</t>
  </si>
  <si>
    <t>LM4010050</t>
  </si>
  <si>
    <t>TRANSFORMERS 2010</t>
  </si>
  <si>
    <t>TR4010060</t>
  </si>
  <si>
    <t>SPECIAL LIGHTING 2010 CAP PROJ</t>
  </si>
  <si>
    <t>SL4010054</t>
  </si>
  <si>
    <t>Special Lighting 2010</t>
  </si>
  <si>
    <t>SL4010055</t>
  </si>
  <si>
    <t>RTU, METERING, &amp; COMM EQUIPMENT (CLECO)</t>
  </si>
  <si>
    <t>LDS401090</t>
  </si>
  <si>
    <t>SYSTEM ADDITIONS 2010 - CAP PROJ</t>
  </si>
  <si>
    <t>LDS401091</t>
  </si>
  <si>
    <t>SYSTEM  ADDITIONS 2010</t>
  </si>
  <si>
    <t>LDS401092</t>
  </si>
  <si>
    <t>6X12 ENCLOSED TRAILER FOR OIL PUMP</t>
  </si>
  <si>
    <t>1786</t>
  </si>
  <si>
    <t>REMOVE &amp; REPLACE 140' FENCE &amp; GATE EXT</t>
  </si>
  <si>
    <t>D104131</t>
  </si>
  <si>
    <t>HART FISHER FIELD COMMUNICATOR UNIT FS475</t>
  </si>
  <si>
    <t>104174</t>
  </si>
  <si>
    <t>CONCRETE PADS - PAVING</t>
  </si>
  <si>
    <t>D104182</t>
  </si>
  <si>
    <t>HP DESIGNJET PRINTER 4020PS</t>
  </si>
  <si>
    <t>104175</t>
  </si>
  <si>
    <t>BOILER REPAIRS  - UNIT 3</t>
  </si>
  <si>
    <t>D104184</t>
  </si>
  <si>
    <t>FISHER CONTROL VALVE  FOR UNIT #4 - dcv6010</t>
  </si>
  <si>
    <t>D104185</t>
  </si>
  <si>
    <t>DRIVEWAY PANEL REPLACEMENT</t>
  </si>
  <si>
    <t>D104183</t>
  </si>
  <si>
    <t>PROVIDED &amp; INSTALL 53 BOILER NOSE ARCH TUBE</t>
  </si>
  <si>
    <t>HP PROBOOK 4525s LAPTOP</t>
  </si>
  <si>
    <t>104171</t>
  </si>
  <si>
    <t>SPECIAL LIGHTING 2011</t>
  </si>
  <si>
    <t>SL4010056</t>
  </si>
  <si>
    <t>SPECIAL LIGHTING CP 2011</t>
  </si>
  <si>
    <t>SL4010057</t>
  </si>
  <si>
    <t>LIGHT METERS 2011</t>
  </si>
  <si>
    <t>LM4010051</t>
  </si>
  <si>
    <t>ELECT DIST SYSTEM ADDITIONS 2011</t>
  </si>
  <si>
    <t>LDS401093</t>
  </si>
  <si>
    <t>HY</t>
  </si>
  <si>
    <t>SYSTEM ADDITION - 2011</t>
  </si>
  <si>
    <t>LDS401094</t>
  </si>
  <si>
    <t>TRANSFORMERS 2011</t>
  </si>
  <si>
    <t>TR4010061</t>
  </si>
  <si>
    <t>2012 INTL 7600 BUCKET TRUCK</t>
  </si>
  <si>
    <t>V1802</t>
  </si>
  <si>
    <t>CONTROL VALVE - UNIT 3</t>
  </si>
  <si>
    <t>104390</t>
  </si>
  <si>
    <t>2011 HYD DIGGER TRICK F750 MODEL DC47</t>
  </si>
  <si>
    <t>V1806</t>
  </si>
  <si>
    <t>2011 KUBOTA M8540DTC-1 W/CUTTER</t>
  </si>
  <si>
    <t>84598</t>
  </si>
  <si>
    <t>2011 TRAILER 24' 7000 LB BLACK</t>
  </si>
  <si>
    <t>1822</t>
  </si>
  <si>
    <t>48" HUSTLER SUPER DUTY RIDING MOWER</t>
  </si>
  <si>
    <t>1827</t>
  </si>
  <si>
    <t>SPECIAL LIGHTING 2012</t>
  </si>
  <si>
    <t>SL4010058</t>
  </si>
  <si>
    <t>SPECIAL LIGHTING CP 2012</t>
  </si>
  <si>
    <t>SL4010059</t>
  </si>
  <si>
    <t>LIGHT METERS 2012</t>
  </si>
  <si>
    <t>LM4010052</t>
  </si>
  <si>
    <t>LIGHT DIST SYSTEM 2012</t>
  </si>
  <si>
    <t>LDS401095</t>
  </si>
  <si>
    <t>LIGHT DIST SYSTEM ADDITION - CIP 2012</t>
  </si>
  <si>
    <t>LDS401096</t>
  </si>
  <si>
    <t>$63,025 - Trans. (138 KV Pilot Wire Replacement) + $41,557 - Dist. (Circuit Reconductoring)</t>
  </si>
  <si>
    <t>TRANSFORMERS 2012</t>
  </si>
  <si>
    <t>TR4010062</t>
  </si>
  <si>
    <t>2012 FORD F150 CREW CAB TRUCK</t>
  </si>
  <si>
    <t>V1843</t>
  </si>
  <si>
    <t>535 POWER THREADER - RIDGE VISE (STAND &amp; DIE)</t>
  </si>
  <si>
    <t>104391</t>
  </si>
  <si>
    <t>48 PORT CS STACKABLE POE SWITCH 3610 ACCESS PT</t>
  </si>
  <si>
    <t>104389</t>
  </si>
  <si>
    <t>2012 FORD F350 SRW TRUCK 4X4</t>
  </si>
  <si>
    <t>V1854</t>
  </si>
  <si>
    <t>2014 CFW 18' BLACK TRAILER</t>
  </si>
  <si>
    <t>1970</t>
  </si>
  <si>
    <t>SPECIAL LIGHTING - 2013</t>
  </si>
  <si>
    <t>SL4010060</t>
  </si>
  <si>
    <t>LIGHT METERS 2013</t>
  </si>
  <si>
    <t>LM4010053</t>
  </si>
  <si>
    <t>LIGHT DIST SYSTEM ADDITIONS 2013</t>
  </si>
  <si>
    <t>LDS401097</t>
  </si>
  <si>
    <t>LIGHT SYSTEM ADDITION - CAP PROJ 2013</t>
  </si>
  <si>
    <t>LDS401098</t>
  </si>
  <si>
    <t>$6,216 - Trans (138 KV Trans Upgrade) + $633,882 - Dist. (Circuit Reconductoring)</t>
  </si>
  <si>
    <t>TRANSFORMERS 2013</t>
  </si>
  <si>
    <t>TR4010063</t>
  </si>
  <si>
    <t>2013 FORD F250 TRUCK</t>
  </si>
  <si>
    <t>V1890</t>
  </si>
  <si>
    <t>2013 FORD F150 TRUCK</t>
  </si>
  <si>
    <t>V1893</t>
  </si>
  <si>
    <t>2013 FORD F150 4X2 TRUCK</t>
  </si>
  <si>
    <t>V1918</t>
  </si>
  <si>
    <t>CROSSOVER TOOL BOX &amp; ENT VISORS</t>
  </si>
  <si>
    <t>V1918A</t>
  </si>
  <si>
    <t>V1921</t>
  </si>
  <si>
    <t>REVOLUTION PQ-VOLTAGE RECORDER</t>
  </si>
  <si>
    <t>104392</t>
  </si>
  <si>
    <t>2014 JOHN DEERE UTILITY GATOR XUV625i</t>
  </si>
  <si>
    <t>1935</t>
  </si>
  <si>
    <t>2014 FORD F250 TRUCK</t>
  </si>
  <si>
    <t>V1950</t>
  </si>
  <si>
    <t>2014 FORD F550 CHASSIS FOR VAC TRUCK</t>
  </si>
  <si>
    <t>V1996</t>
  </si>
  <si>
    <t>SPECIAL LIGHTING 2014</t>
  </si>
  <si>
    <t>SL4010061</t>
  </si>
  <si>
    <t>LIGHT METERS 2014</t>
  </si>
  <si>
    <t>LM4010054</t>
  </si>
  <si>
    <t>LIGHT SYSTEM ADDITIONS</t>
  </si>
  <si>
    <t>LDS401099</t>
  </si>
  <si>
    <t>TRANSFORMERS 2014</t>
  </si>
  <si>
    <t>TR4010064</t>
  </si>
  <si>
    <t>PARKING CANOPY COVER &amp; LABOR - ELEC DIST</t>
  </si>
  <si>
    <t>104393</t>
  </si>
  <si>
    <t>LIGHT SYSTEM ADDITION - CAP PROJECT 2014</t>
  </si>
  <si>
    <t>LDS401100</t>
  </si>
  <si>
    <t>KV TIE LINES - CAP PROJECT 2014</t>
  </si>
  <si>
    <t>TR-KV405</t>
  </si>
  <si>
    <t>SCADA UPGRADE - UTIL CAP PROJ 2014</t>
  </si>
  <si>
    <t>401-162712</t>
  </si>
  <si>
    <t>BAYOU COVE UNIT #1</t>
  </si>
  <si>
    <t>PP4012014</t>
  </si>
  <si>
    <t>72" SCAG ZERO TURN MOWER</t>
  </si>
  <si>
    <t>1976</t>
  </si>
  <si>
    <t>2014 MAGNUM PRO LIGHT TOWER TOWABLE</t>
  </si>
  <si>
    <t>1983</t>
  </si>
  <si>
    <t>2014 JD ATLASCOPCO COMPRESSOR XAS185JD7</t>
  </si>
  <si>
    <t>1984</t>
  </si>
  <si>
    <t>PIPEHUNTER VACHUNTER HYDRO-EXCAVATOR ENG99HP</t>
  </si>
  <si>
    <t>V1996A</t>
  </si>
  <si>
    <t>2014 FORD F150 TRUCK</t>
  </si>
  <si>
    <t>V2004</t>
  </si>
  <si>
    <t>2015 FORD EXPLORER</t>
  </si>
  <si>
    <t>V2012</t>
  </si>
  <si>
    <t>EAGLE EYE DC GROUND FAULT LOCATOR</t>
  </si>
  <si>
    <t>104209</t>
  </si>
  <si>
    <t>2015 CLASS A ELEVATORS - ALTEC CHASSIS</t>
  </si>
  <si>
    <t>V1997</t>
  </si>
  <si>
    <t>2014 ALTEC LOAD TRAILER  FOR 2021</t>
  </si>
  <si>
    <t>2020</t>
  </si>
  <si>
    <t>2015 BACKYAR BUGGY MANLIFT #4ZECH1821F1068548</t>
  </si>
  <si>
    <t>2021</t>
  </si>
  <si>
    <t>2015 BIG TEC 6.5 X 14 SINGLE AXLE UTILITY TRAILER</t>
  </si>
  <si>
    <t>2042</t>
  </si>
  <si>
    <t>SPECIAL LIGHTING 2015</t>
  </si>
  <si>
    <t>SL4010062</t>
  </si>
  <si>
    <t>LIGHT METERS 2015</t>
  </si>
  <si>
    <t>LM4010055</t>
  </si>
  <si>
    <t>LIGHT SYSTEM ADDITION 2015</t>
  </si>
  <si>
    <t>LDS401101</t>
  </si>
  <si>
    <t>TRANSFORMERS 2015</t>
  </si>
  <si>
    <t>TR4010065</t>
  </si>
  <si>
    <t>ELECTRICAL WAREHOUSE CANOPY</t>
  </si>
  <si>
    <t>104393A</t>
  </si>
  <si>
    <t>Light Distribution System</t>
  </si>
  <si>
    <t>138KV Tie Lines</t>
  </si>
  <si>
    <t>Total Through Fiscal Year Ending 4/30/15</t>
  </si>
  <si>
    <t>Pivot Table to Summarize</t>
  </si>
  <si>
    <t>by Account Number</t>
  </si>
  <si>
    <t>Row Labels</t>
  </si>
  <si>
    <t>Sum of Original Cost</t>
  </si>
  <si>
    <t>Grand Total</t>
  </si>
  <si>
    <t>Workpaper for Allocation of Trial Balance</t>
  </si>
  <si>
    <t>Capital Assets Allocated to</t>
  </si>
  <si>
    <t>PPE and Land</t>
  </si>
  <si>
    <t>M&amp;S</t>
  </si>
  <si>
    <t>Debit /</t>
  </si>
  <si>
    <t>Current</t>
  </si>
  <si>
    <t>Property, Plant</t>
  </si>
  <si>
    <t>Materials &amp;</t>
  </si>
  <si>
    <t>Transmission /</t>
  </si>
  <si>
    <t>Credit</t>
  </si>
  <si>
    <t>&amp; Equip. (PPE)</t>
  </si>
  <si>
    <t>Land</t>
  </si>
  <si>
    <t>Supplies (M&amp;S)</t>
  </si>
  <si>
    <t>Electric System</t>
  </si>
  <si>
    <t>Electric</t>
  </si>
  <si>
    <t>Accounts Payable - Operations</t>
  </si>
  <si>
    <t>Revenue Control Account</t>
  </si>
  <si>
    <t>Expenditure Control Account</t>
  </si>
  <si>
    <t>Debit</t>
  </si>
  <si>
    <t>Encumbrance Control Account</t>
  </si>
  <si>
    <t>Encumbrance Reserve Account</t>
  </si>
  <si>
    <t>Budgeted Revenue Control Account</t>
  </si>
  <si>
    <t>Budgeted Expenditure Control Acct</t>
  </si>
  <si>
    <t>Budgeted Change to Fund Balance</t>
  </si>
  <si>
    <t>Accounts Payable Bank Cash</t>
  </si>
  <si>
    <t>Cash-Primary Clearing Account</t>
  </si>
  <si>
    <t>Utilities System Fund Bank Cash</t>
  </si>
  <si>
    <t>Accounts Payable Cash</t>
  </si>
  <si>
    <t>Payroll Cash</t>
  </si>
  <si>
    <t>Governmental Funds Cash</t>
  </si>
  <si>
    <t>Community Development Funds Cash</t>
  </si>
  <si>
    <t>Primay Clearing Account Cash</t>
  </si>
  <si>
    <t>Employee Benefits Funds Cash</t>
  </si>
  <si>
    <t>Utilities System Fund Cash</t>
  </si>
  <si>
    <t>Mor-Tem Claims Cash</t>
  </si>
  <si>
    <t>Credit Carding Clearing Cash</t>
  </si>
  <si>
    <t>Cash-Housing and Comm. Development</t>
  </si>
  <si>
    <t>Petty Cash</t>
  </si>
  <si>
    <t>Investments-Repurchase Agreements</t>
  </si>
  <si>
    <t>Investments-Equity in Invest. Pool</t>
  </si>
  <si>
    <t>Investment-CD's</t>
  </si>
  <si>
    <t>Cash With Paying Agent</t>
  </si>
  <si>
    <t>Cash-Bond Exp Fund</t>
  </si>
  <si>
    <t>Cash-2004 Bond Exp Fund</t>
  </si>
  <si>
    <t>Accounts Receivable</t>
  </si>
  <si>
    <t>Unapplied Payments-A/R</t>
  </si>
  <si>
    <t>Est. Uncollectible-A/R Utility</t>
  </si>
  <si>
    <t>Est. Unbilled Receivable</t>
  </si>
  <si>
    <t>Miscellaneous Receivable</t>
  </si>
  <si>
    <t>Travel Advance Receivable</t>
  </si>
  <si>
    <t>Returned Checks</t>
  </si>
  <si>
    <t>Grant Receivable-State</t>
  </si>
  <si>
    <t>Cr Card Receivable</t>
  </si>
  <si>
    <t>Advance To General Capital Projects</t>
  </si>
  <si>
    <t>Undistributed Misc Cash Receipts</t>
  </si>
  <si>
    <t>Prepaid Expenses</t>
  </si>
  <si>
    <t>Grant Receivable-Federal Government</t>
  </si>
  <si>
    <t>Performance Bondd Proceed Rec</t>
  </si>
  <si>
    <t>Inventory Interfund Account</t>
  </si>
  <si>
    <t>Due (To) P/R Imprest Fund</t>
  </si>
  <si>
    <t>Due (To) From General Fund</t>
  </si>
  <si>
    <t>Due (To) From Community Dev. Funds</t>
  </si>
  <si>
    <t>Due (To) From Gen Cap Project Funds</t>
  </si>
  <si>
    <t>Due (To) From CDBG Cap. Proj. Funds</t>
  </si>
  <si>
    <t>Due (To) From EDA Cap. Proj. Funds</t>
  </si>
  <si>
    <t>Due (To) From Utility System Fund</t>
  </si>
  <si>
    <t>Due (To) From Sanitation Fund</t>
  </si>
  <si>
    <t>Due (To) From Zoo</t>
  </si>
  <si>
    <t>Due (To) From Golf Course Fund</t>
  </si>
  <si>
    <t>Due (To) From Hotel Operations Fund</t>
  </si>
  <si>
    <t>Due (To) From Util Cap Proj Funds</t>
  </si>
  <si>
    <t>Due (To) From 2013A Util Cap Pro Bd</t>
  </si>
  <si>
    <t>Due (To) From Bus Fund</t>
  </si>
  <si>
    <t>Due (To) From Risk Management Fund</t>
  </si>
  <si>
    <t>Due (To) From Employee Benefits Fd.</t>
  </si>
  <si>
    <t>Interest Receivable</t>
  </si>
  <si>
    <t>Inventory-Print Shop</t>
  </si>
  <si>
    <t>Inventory-Central Warehouse</t>
  </si>
  <si>
    <t>Inv. Valuation Acct-Central Whse</t>
  </si>
  <si>
    <t>Inventory-Parts Warehouse</t>
  </si>
  <si>
    <t>Inventory-Fuel and Oil</t>
  </si>
  <si>
    <t>Inventory-Electric Production</t>
  </si>
  <si>
    <t>Inventory-Electric Distribution</t>
  </si>
  <si>
    <t>Inventory-Water</t>
  </si>
  <si>
    <t>Inventory-Gas</t>
  </si>
  <si>
    <t>Investment-Equity in Pool-Restrictd</t>
  </si>
  <si>
    <t>Investment-Equity in Pool-URB Resv</t>
  </si>
  <si>
    <t>Cash-Utility Revenue Bond Sink. Fd.</t>
  </si>
  <si>
    <t>Investment-Equity in Pool-Cus Depos</t>
  </si>
  <si>
    <t>Investment/Restricted Funds - MISO</t>
  </si>
  <si>
    <t>Investment-URB Reserve DHH</t>
  </si>
  <si>
    <t>Investment-1993R URB Sinking Fund</t>
  </si>
  <si>
    <t>Investment-1993B URB Sinking Fund</t>
  </si>
  <si>
    <t>Investment-1995 URB Sinking Fund</t>
  </si>
  <si>
    <t>Investment-2002R URB Sinking Fund</t>
  </si>
  <si>
    <t>Investment-2004 URB Sinking Fund</t>
  </si>
  <si>
    <t>Investment-2010 DHH Util Bd Sinking</t>
  </si>
  <si>
    <t>Investment-2013A URB Refund Sinking</t>
  </si>
  <si>
    <t>Investment-2013B URB Refund Sinking</t>
  </si>
  <si>
    <t>Investment-2013 URB Sinking</t>
  </si>
  <si>
    <t>Investment-2014 URB Sinking</t>
  </si>
  <si>
    <t>Bond Issuance Costs</t>
  </si>
  <si>
    <t>Deferred Loss on Bd Refund</t>
  </si>
  <si>
    <t>Advance To Sanitation Fund</t>
  </si>
  <si>
    <t>Land Light System Purpose</t>
  </si>
  <si>
    <t>Land Downtown Substation</t>
  </si>
  <si>
    <t>10.66 Acres Twin Bridges</t>
  </si>
  <si>
    <t>Land Water System Purpose</t>
  </si>
  <si>
    <t>Land Red River Water Plant</t>
  </si>
  <si>
    <t>Land Gas System Purpose</t>
  </si>
  <si>
    <t>Land Sewer System Purpose</t>
  </si>
  <si>
    <t>Land Brian Clinic Jackson Street</t>
  </si>
  <si>
    <t>Land Wastewater Dechlorination Faci</t>
  </si>
  <si>
    <t>Land - AFCO Donation</t>
  </si>
  <si>
    <t>Land - 16th and Johnston</t>
  </si>
  <si>
    <t>Business Office Renovation-CityHall</t>
  </si>
  <si>
    <t>Building-Brian Clinic Jackson St</t>
  </si>
  <si>
    <t>Building - Utility Services</t>
  </si>
  <si>
    <t>Customer Service Building</t>
  </si>
  <si>
    <t>Power Plant</t>
  </si>
  <si>
    <t>Bayou Cover Unit #1</t>
  </si>
  <si>
    <t>Water Plant - Monroe Street</t>
  </si>
  <si>
    <t>Sewer Plant - Hudson Street</t>
  </si>
  <si>
    <t>Atwood Pumping Station</t>
  </si>
  <si>
    <t>Special Lighting</t>
  </si>
  <si>
    <t>Light Meters</t>
  </si>
  <si>
    <t>Transformers</t>
  </si>
  <si>
    <t>Water Meters</t>
  </si>
  <si>
    <t>Water Wells</t>
  </si>
  <si>
    <t>Found/Elevator Storage Tank</t>
  </si>
  <si>
    <t>Reservoirs</t>
  </si>
  <si>
    <t>Gas Meters</t>
  </si>
  <si>
    <t>Sterkx Road Substation</t>
  </si>
  <si>
    <t>Bayou Rapides Substation</t>
  </si>
  <si>
    <t>Distribution Syst Light Production</t>
  </si>
  <si>
    <t>Generating System Capital</t>
  </si>
  <si>
    <t>Twin Bridges 138KVA Sub Transf Line</t>
  </si>
  <si>
    <t>Willow Glen 25 MVA Transformer</t>
  </si>
  <si>
    <t>Downtown Substation</t>
  </si>
  <si>
    <t>Water Lines 67 BD Construction</t>
  </si>
  <si>
    <t>Water Telemetry</t>
  </si>
  <si>
    <t>Distribution System Water Mains</t>
  </si>
  <si>
    <t>Water Transmission Mains</t>
  </si>
  <si>
    <t>Water Telemetry System</t>
  </si>
  <si>
    <t>Hwy 1 Water Booster Station</t>
  </si>
  <si>
    <t>Elevated Water Storage Tank-Monroe</t>
  </si>
  <si>
    <t>Distribution System Gas Mains</t>
  </si>
  <si>
    <t>Sewer Disposal System</t>
  </si>
  <si>
    <t>Sewer Trans Facility</t>
  </si>
  <si>
    <t>Sewer-Hwy 28 Pumping Station</t>
  </si>
  <si>
    <t>Computer Software</t>
  </si>
  <si>
    <t>Radio System - Electric Production</t>
  </si>
  <si>
    <t>Radio System - Elec Distribution</t>
  </si>
  <si>
    <t>Radio System - Water</t>
  </si>
  <si>
    <t>Radio System - Gas</t>
  </si>
  <si>
    <t>Radio System - Wastewater</t>
  </si>
  <si>
    <t>Radio System - Billing</t>
  </si>
  <si>
    <t>Radio System - Meter Readers</t>
  </si>
  <si>
    <t>Radio System - Utility Services</t>
  </si>
  <si>
    <t>Light Production Autos</t>
  </si>
  <si>
    <t>Autos-Lt Distribution &amp; Lt Inspectr</t>
  </si>
  <si>
    <t>Water Department Autos</t>
  </si>
  <si>
    <t>Gas Department Autos</t>
  </si>
  <si>
    <t>Sewer Department Autos</t>
  </si>
  <si>
    <t>Business Office Autos</t>
  </si>
  <si>
    <t>Utility Director Auto</t>
  </si>
  <si>
    <t>Mayor's Office-Pooled Auto</t>
  </si>
  <si>
    <t>Meter Readers Autos</t>
  </si>
  <si>
    <t>Data Processing Auto</t>
  </si>
  <si>
    <t>Traffic Signals Auto</t>
  </si>
  <si>
    <t>Utility Services Autos</t>
  </si>
  <si>
    <t>Lab Testing Autos</t>
  </si>
  <si>
    <t>City Phone System</t>
  </si>
  <si>
    <t>GIS/GPS System</t>
  </si>
  <si>
    <t>City Compound Equipment</t>
  </si>
  <si>
    <t>Data Processing Mach &amp; Equipment</t>
  </si>
  <si>
    <t>Tax Department Mach &amp; Equipment</t>
  </si>
  <si>
    <t>Budget Director Equipment</t>
  </si>
  <si>
    <t>Electric Distribution Mach &amp; Equip</t>
  </si>
  <si>
    <t>Water Machinery &amp; Equipment</t>
  </si>
  <si>
    <t>Gas Machinery &amp; Equipment</t>
  </si>
  <si>
    <t>Wastewater Machinery &amp; Equipment</t>
  </si>
  <si>
    <t>Lab Testing &amp; Services Equipment</t>
  </si>
  <si>
    <t>Meter Readers Machinery &amp; Equipment</t>
  </si>
  <si>
    <t>Traffic Signals Mach &amp; Equipment</t>
  </si>
  <si>
    <t>Utility Service Mach &amp; Equipment</t>
  </si>
  <si>
    <t>Light Production Furniture &amp; Fixt</t>
  </si>
  <si>
    <t>Light Distribution Furniture &amp; Fixt</t>
  </si>
  <si>
    <t>Water Department Furniture &amp; Fixt</t>
  </si>
  <si>
    <t>Gas Department Furniture &amp; Fixt</t>
  </si>
  <si>
    <t>Sewer Department Furniture &amp; Fixt</t>
  </si>
  <si>
    <t>Utility Office Furniture &amp; Fixt</t>
  </si>
  <si>
    <t>Budget Office Furniture &amp; Fixt</t>
  </si>
  <si>
    <t>Director of Utilities Furn &amp; Fixt</t>
  </si>
  <si>
    <t>Accumulated Depreciation GFA</t>
  </si>
  <si>
    <t>Construction in Progress-Misc</t>
  </si>
  <si>
    <t>Construction in Prog-Power Plant</t>
  </si>
  <si>
    <t>Construction in Prog-Water System</t>
  </si>
  <si>
    <t>Construction in Prog-Gas Dept</t>
  </si>
  <si>
    <t>Construction in Prog-Sewer System</t>
  </si>
  <si>
    <t>Fund 411 Assets-USF Capt. Proj. Fd.</t>
  </si>
  <si>
    <t>Fund 415 Assets-USF Capt. Proj. Fd.</t>
  </si>
  <si>
    <t>Fund 416 Assets-USF Capt. Proj. Fd.</t>
  </si>
  <si>
    <t>Fund 417 Assets-USF Capt. Proj. Fd.</t>
  </si>
  <si>
    <t>Fund 418 Assets-USF Capt. Proj. Fd.</t>
  </si>
  <si>
    <t>Fund 419 Assets-USF Capt. Proj. Fd.</t>
  </si>
  <si>
    <t>Fund 420 Assets-USF Capt. Proj. Fd.</t>
  </si>
  <si>
    <t>Interest Payable-Current</t>
  </si>
  <si>
    <t>Escrow Deposit - Misc</t>
  </si>
  <si>
    <t>Liabilities Pybl From Fd 411 Assets</t>
  </si>
  <si>
    <t>Due to Shepherd Center</t>
  </si>
  <si>
    <t>Due to DHH - CWS Fee</t>
  </si>
  <si>
    <t>Liabilities Pybl From Fd 415 Assets</t>
  </si>
  <si>
    <t>Liabilities Pybl From Fd 416 Assets</t>
  </si>
  <si>
    <t>Liabilities Pybl From Fd 417 Assets</t>
  </si>
  <si>
    <t>Liabilities Pybl From Fd 419 Assets</t>
  </si>
  <si>
    <t>Sales Tax Payable</t>
  </si>
  <si>
    <t>Due to Golf Course Mgt Company</t>
  </si>
  <si>
    <t>Due to England Auth-Meter Advance</t>
  </si>
  <si>
    <t>Deferred Income</t>
  </si>
  <si>
    <t>Due to Sanitation Fund-Collections</t>
  </si>
  <si>
    <t>Due to Sanitation Fund-Disposal Fee</t>
  </si>
  <si>
    <t>Accrued Vacation And Sick Pay</t>
  </si>
  <si>
    <t>Customer Guaranteed Deposits</t>
  </si>
  <si>
    <t>URB Bonds Payable-Current</t>
  </si>
  <si>
    <t>URB Bonds Payable-92 Refunding</t>
  </si>
  <si>
    <t>URB Bonds Payable-93 Refunding</t>
  </si>
  <si>
    <t>URB Bonds Payable-93 B</t>
  </si>
  <si>
    <t>URB Bonds Payable-95</t>
  </si>
  <si>
    <t>URB Bonds Payable-02</t>
  </si>
  <si>
    <t>URB Bonds Payable-03</t>
  </si>
  <si>
    <t>URB Bonds Payable-04</t>
  </si>
  <si>
    <t>URB Bonds Payable-13A Refund</t>
  </si>
  <si>
    <t>URB Bonds Payable-13B Refund</t>
  </si>
  <si>
    <t>URB Bonds Payable-13</t>
  </si>
  <si>
    <t>URB Bonds Payable-14</t>
  </si>
  <si>
    <t>COI Payable 2003</t>
  </si>
  <si>
    <t>State Revolving Loan Payable</t>
  </si>
  <si>
    <t>Installment Contract - Oracle</t>
  </si>
  <si>
    <t>Contribution to Fixed Assets</t>
  </si>
  <si>
    <t>Contributed Capital</t>
  </si>
  <si>
    <t>Contribution From 1979 Sales Tax Bd</t>
  </si>
  <si>
    <t>Contribution From Capital Proj. Fd.</t>
  </si>
  <si>
    <t>Retained Earnings-Restricted</t>
  </si>
  <si>
    <t>Ret. Earnings-Resv for Cap Add/Cont</t>
  </si>
  <si>
    <t>Ret. Earnings-Resv for Capt. Proj.</t>
  </si>
  <si>
    <t>Ret. Earnings-Resv for Sewer Assmnt</t>
  </si>
  <si>
    <t>Ret. Earnings-Resv for URB Resv Fd.</t>
  </si>
  <si>
    <t>Retained Earnings-Bayou Cove</t>
  </si>
  <si>
    <t>Retained Earnings-Debt 420</t>
  </si>
  <si>
    <t>Fund Balance</t>
  </si>
  <si>
    <t>Total Per COA's Financial Report/Electric Utility Fund</t>
  </si>
  <si>
    <t>Workpaper for Allocation of Electric Related A&amp;G Expenses</t>
  </si>
  <si>
    <t>O&amp;M and A&amp;G Expenses</t>
  </si>
  <si>
    <t>Electric Utility</t>
  </si>
  <si>
    <t>Utilities</t>
  </si>
  <si>
    <t>Allocated to</t>
  </si>
  <si>
    <r>
      <t>System</t>
    </r>
    <r>
      <rPr>
        <b/>
        <vertAlign val="superscript"/>
        <sz val="10"/>
        <color theme="1"/>
        <rFont val="Times New Roman"/>
        <family val="1"/>
      </rPr>
      <t>[1]</t>
    </r>
  </si>
  <si>
    <t>Personnel Costs</t>
  </si>
  <si>
    <t>Contractual and professional Services</t>
  </si>
  <si>
    <t>Disposal Costs</t>
  </si>
  <si>
    <t>Repairs and Maintenance</t>
  </si>
  <si>
    <t>Vehicle Expense</t>
  </si>
  <si>
    <t>Other Supplies and Expenses</t>
  </si>
  <si>
    <t>Miscellaneous Expenses</t>
  </si>
  <si>
    <r>
      <t>Payment in Lieu of Insurance</t>
    </r>
    <r>
      <rPr>
        <vertAlign val="superscript"/>
        <sz val="10"/>
        <color theme="1"/>
        <rFont val="Times New Roman"/>
        <family val="1"/>
      </rPr>
      <t>[2]</t>
    </r>
  </si>
  <si>
    <t>Insurance, Claims, and Related Expenses</t>
  </si>
  <si>
    <t>Total O&amp;M and A&amp;G Expenses</t>
  </si>
  <si>
    <t>Less: Fixed O&amp;M Expenses Allocable to Prod, Trans. And Dist.</t>
  </si>
  <si>
    <t>Total A&amp;G Expenses (Net of O&amp;M expenses)</t>
  </si>
  <si>
    <t xml:space="preserve">Footnotes:   </t>
  </si>
  <si>
    <t>[2] Includes costs related to general liability, auto, workers comp, and property insurance.</t>
  </si>
  <si>
    <t>Workpaper for Allocation of O&amp;M Expenses</t>
  </si>
  <si>
    <t>Allocation of</t>
  </si>
  <si>
    <t>Estimate Allocable to</t>
  </si>
  <si>
    <t>Wages &amp; Salaries</t>
  </si>
  <si>
    <t>Type</t>
  </si>
  <si>
    <t>Title</t>
  </si>
  <si>
    <t>Depreciation</t>
  </si>
  <si>
    <t>Overtime</t>
  </si>
  <si>
    <t>Maintenance Worker Senior</t>
  </si>
  <si>
    <t>Crew Supervisor Electric Dist</t>
  </si>
  <si>
    <t>Supervisor Electric Distribution</t>
  </si>
  <si>
    <t>SCADA Operator-Electric Dist</t>
  </si>
  <si>
    <t>Administrative Secretary</t>
  </si>
  <si>
    <t>Electric Substation Supervisor</t>
  </si>
  <si>
    <t>Electric Line Worker Senior</t>
  </si>
  <si>
    <t>Electric Meter Technician</t>
  </si>
  <si>
    <t>Electric Line Worker</t>
  </si>
  <si>
    <t>Electric Substation Technician II</t>
  </si>
  <si>
    <t>Electric Substation Technician I</t>
  </si>
  <si>
    <t>Trades Worker</t>
  </si>
  <si>
    <t>Supervisor-Meter &amp; Services</t>
  </si>
  <si>
    <t>Electric Dist System Tech</t>
  </si>
  <si>
    <t>Fringe-Pension</t>
  </si>
  <si>
    <t>Fringe-Hospitalization</t>
  </si>
  <si>
    <t>Fringe-Medicare Insurance Tax</t>
  </si>
  <si>
    <t>Fringe-Life Insurance</t>
  </si>
  <si>
    <t>Contract Labor</t>
  </si>
  <si>
    <t>Uniforms</t>
  </si>
  <si>
    <t>Office</t>
  </si>
  <si>
    <t>Operating Supplies</t>
  </si>
  <si>
    <t>Operating Animal Food</t>
  </si>
  <si>
    <t>Small Tools</t>
  </si>
  <si>
    <t>Tree Trimming/Removal</t>
  </si>
  <si>
    <t>Vehicle Costs-Fuel and Oil</t>
  </si>
  <si>
    <t>Vehicle Costs-Repair &amp; Maintenance</t>
  </si>
  <si>
    <t>Telephone</t>
  </si>
  <si>
    <t>Printing</t>
  </si>
  <si>
    <t>Dues and Subscriptions</t>
  </si>
  <si>
    <t>Travel &amp; Training</t>
  </si>
  <si>
    <t>Lamp Renewals</t>
  </si>
  <si>
    <t>Maintenance-Bldgs and Facilities</t>
  </si>
  <si>
    <t>Maintenance-Equipment</t>
  </si>
  <si>
    <t>Maintenance-Lines and Poles</t>
  </si>
  <si>
    <t>Maintenance-Meters</t>
  </si>
  <si>
    <t>Maintenance-Substations</t>
  </si>
  <si>
    <t>PCB Disposal/Testing</t>
  </si>
  <si>
    <t>Acquisition-City Funds</t>
  </si>
  <si>
    <t>Meters</t>
  </si>
  <si>
    <t>Christmas Lighting</t>
  </si>
  <si>
    <t>Street Lights</t>
  </si>
  <si>
    <t>Electric Transformers</t>
  </si>
  <si>
    <t>System Additions</t>
  </si>
  <si>
    <t>Building Improvements</t>
  </si>
  <si>
    <t>Vehicles</t>
  </si>
  <si>
    <t>Machinery and Equipment</t>
  </si>
  <si>
    <t>Office Furniture and Fixtures</t>
  </si>
  <si>
    <t xml:space="preserve">Total </t>
  </si>
  <si>
    <t>Production Expenses</t>
  </si>
  <si>
    <t>Wages &amp;</t>
  </si>
  <si>
    <t>Purch Power</t>
  </si>
  <si>
    <t>Salaries</t>
  </si>
  <si>
    <t>&amp; Fuel</t>
  </si>
  <si>
    <t>Superintendent-Electric Production</t>
  </si>
  <si>
    <t>Custodial Worker</t>
  </si>
  <si>
    <t>Supervisor Electric Production</t>
  </si>
  <si>
    <t>Plant Maintenance Supervisor</t>
  </si>
  <si>
    <t>Electric Plant Shift Supervisor</t>
  </si>
  <si>
    <t>Maintenance Mechanic II</t>
  </si>
  <si>
    <t>Electric Plant Operator II</t>
  </si>
  <si>
    <t>Electric Plant Operator I</t>
  </si>
  <si>
    <t>Industrial Electrician Electric Pro</t>
  </si>
  <si>
    <t>Electronic &amp; Instrument Tech-Elec P</t>
  </si>
  <si>
    <t>Operating Janitorial</t>
  </si>
  <si>
    <t>Operating Chemicals</t>
  </si>
  <si>
    <t>Operating Gases</t>
  </si>
  <si>
    <t>Fees, Licenses, and Permits</t>
  </si>
  <si>
    <t>Purchases-Direct Energy Costs</t>
  </si>
  <si>
    <t>Purchases-Other Energy Costs</t>
  </si>
  <si>
    <t>Purchases-Plant Fuel</t>
  </si>
  <si>
    <t>Maintenance-Plant</t>
  </si>
  <si>
    <t>Total Production O&amp;M</t>
  </si>
  <si>
    <t>Total All</t>
  </si>
  <si>
    <t>Workpaper for Allocation of Taxes Other Than Income Taxes</t>
  </si>
  <si>
    <t>System</t>
  </si>
  <si>
    <t>General Fund Transfer</t>
  </si>
  <si>
    <t>Workpaper to Compute Revenues Associated with Point-to-Point Transmission Service</t>
  </si>
  <si>
    <r>
      <t>Joint Pricing Zone Revenue Allocation</t>
    </r>
    <r>
      <rPr>
        <b/>
        <vertAlign val="superscript"/>
        <sz val="10"/>
        <rFont val="Times New Roman"/>
        <family val="1"/>
      </rPr>
      <t>[1]</t>
    </r>
    <r>
      <rPr>
        <b/>
        <sz val="10"/>
        <rFont val="Times New Roman"/>
        <family val="1"/>
      </rPr>
      <t>:</t>
    </r>
  </si>
  <si>
    <t>Schedule 8</t>
  </si>
  <si>
    <t>Alexandria % TPZ</t>
  </si>
  <si>
    <t>City of Alexandria's Revenue Share</t>
  </si>
  <si>
    <t>Footnote:</t>
  </si>
  <si>
    <t>[1] Amount shown are per the monthly settlements provided by Cleco.</t>
  </si>
  <si>
    <t>This section is new</t>
  </si>
  <si>
    <t>[1]</t>
  </si>
  <si>
    <t>on the following website: https://www.cityofalexandriala.com/city-budget</t>
  </si>
  <si>
    <t>[1] Amount per the City of Alexandria's 2016-2017 Annual Budget, Table II.1.  The City's annual budgets are posted</t>
  </si>
  <si>
    <t>Workpaper to Show Derivation of the Electric Operating Revenues</t>
  </si>
  <si>
    <t>The following is a screenshot from the City's fiscal year ending April 30, 2016 accounting system showing the derivation</t>
  </si>
  <si>
    <t>of the FY 2016 Electric Operating Revenues included in EIA 412 Schedule 3 - Total Utility.</t>
  </si>
  <si>
    <t>Fiscal Year Ending April 30, 2016</t>
  </si>
  <si>
    <t>Difference related to unamortized bond refunding charges and deferred outflows related to pensions.  See Lines 24 and 26 above.</t>
  </si>
  <si>
    <t xml:space="preserve">Total = </t>
  </si>
  <si>
    <t>2015 FORD F150 TRUCK</t>
  </si>
  <si>
    <t>2016 FORD F250 TRUCK</t>
  </si>
  <si>
    <t>2016 INTL ALTEC TRUCK 4300 - 55' ARTICULATING _x000D_
 DURA STAR</t>
  </si>
  <si>
    <t>CANNON IMAGERUNNER COPIER</t>
  </si>
  <si>
    <t>IVR - MILSOFT OUTAGE CALL HANDLING</t>
  </si>
  <si>
    <t>SPECIAL LIGHTING 2016</t>
  </si>
  <si>
    <t>LIGHT METERS 2016</t>
  </si>
  <si>
    <t>LIGHT SYSTEM ADDITIONS 2016</t>
  </si>
  <si>
    <t>TRANSFORMERS 2016</t>
  </si>
  <si>
    <t>KV TIE LINES - CAP PROJECT 2015</t>
  </si>
  <si>
    <t>LDS401102</t>
  </si>
  <si>
    <t>TR-KV406</t>
  </si>
  <si>
    <t>V2069</t>
  </si>
  <si>
    <t>V2131</t>
  </si>
  <si>
    <t>V2143</t>
  </si>
  <si>
    <t>V2147</t>
  </si>
  <si>
    <t>104526</t>
  </si>
  <si>
    <t>D104541</t>
  </si>
  <si>
    <t>SL4010063</t>
  </si>
  <si>
    <t>LM4010056</t>
  </si>
  <si>
    <t>LDS401103</t>
  </si>
  <si>
    <t>TR4010066</t>
  </si>
  <si>
    <t>D104408</t>
  </si>
  <si>
    <t>Due (To) From 2014 Util Cap Pro Bd</t>
  </si>
  <si>
    <t>Def Outflows-GASB 68 COAERS other</t>
  </si>
  <si>
    <t>DG Hunter Units 5-11</t>
  </si>
  <si>
    <t>GASB 68 Net Penion Liability</t>
  </si>
  <si>
    <t>Def Inflows-GASB 68 COAERS other</t>
  </si>
  <si>
    <t>Retained Earnings-Restricted 419</t>
  </si>
  <si>
    <t>Retained Earnings-Restricted Debt</t>
  </si>
  <si>
    <t>Reserved for Garage</t>
  </si>
  <si>
    <t>[1] Amounts are per the City's Financial Report, Exhibit H for the Fiscal Year Ending April 30, 2016.</t>
  </si>
  <si>
    <t>FY 2016</t>
  </si>
  <si>
    <t>Administrative Assistant</t>
  </si>
  <si>
    <t>Accrued Vacation and Sick Leave</t>
  </si>
  <si>
    <t>Enviromental Technician II</t>
  </si>
  <si>
    <t>Maintenance Mechanic I</t>
  </si>
  <si>
    <t>Fringe-FICA Tax Retirement</t>
  </si>
  <si>
    <t>Asset vs Liabilities</t>
  </si>
  <si>
    <t>Reconciliation to Exhibit G of Financial Report:</t>
  </si>
  <si>
    <t>For the 12 months ended 4/30/16</t>
  </si>
  <si>
    <t>Partial Functionalization Fiscal Year Ending 4/30/16</t>
  </si>
  <si>
    <t>Full Functionalization for Fiscal Year Ending 4/30/16</t>
  </si>
  <si>
    <t>Total Through Fiscal Year Ending 4/30/16</t>
  </si>
  <si>
    <t>Additions During Fiscal Year Ending 4/30/16</t>
  </si>
  <si>
    <t>401-0-162713</t>
  </si>
  <si>
    <t>401-0-163817</t>
  </si>
  <si>
    <t>401-0-164721</t>
  </si>
  <si>
    <t>401-0-164725</t>
  </si>
  <si>
    <t>DG Hunter 5-11</t>
  </si>
  <si>
    <t>Sterkx Rd Subsation</t>
  </si>
  <si>
    <t>Light Dist System</t>
  </si>
  <si>
    <t>138KV Transmission Upgrade</t>
  </si>
  <si>
    <t>138KV Pilot Wire Replacement</t>
  </si>
  <si>
    <t>Replacement of transformers</t>
  </si>
  <si>
    <t>Misc transformers replaced throughout the system not at the substation.</t>
  </si>
  <si>
    <t>CITY OF ALEXANDRIA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</si>
</sst>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_);\(#,##0.0\)"/>
    <numFmt numFmtId="176" formatCode="0.0%"/>
    <numFmt numFmtId="177" formatCode="[$-409]mmm\-yy;@"/>
    <numFmt numFmtId="178" formatCode="0.0000%"/>
  </numFmts>
  <fonts count="41">
    <font>
      <sz val="12"/>
      <name val="Arial MT"/>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sz val="12"/>
      <color rgb="FF0070C0"/>
      <name val="Times New Roman"/>
      <family val="1"/>
    </font>
    <font>
      <sz val="12"/>
      <name val="Arial MT"/>
    </font>
    <font>
      <b/>
      <sz val="10"/>
      <color indexed="12"/>
      <name val="Times New Roman"/>
      <family val="1"/>
    </font>
    <font>
      <sz val="10"/>
      <name val="Times New Roman"/>
      <family val="1"/>
    </font>
    <font>
      <b/>
      <sz val="10"/>
      <name val="Times New Roman"/>
      <family val="1"/>
    </font>
    <font>
      <sz val="10"/>
      <color rgb="FFFF0000"/>
      <name val="Times New Roman"/>
      <family val="1"/>
    </font>
    <font>
      <sz val="10"/>
      <color rgb="FF0000FF"/>
      <name val="Times New Roman"/>
      <family val="1"/>
    </font>
    <font>
      <sz val="10"/>
      <color indexed="12"/>
      <name val="Times New Roman"/>
      <family val="1"/>
    </font>
    <font>
      <i/>
      <sz val="10"/>
      <name val="Times New Roman"/>
      <family val="1"/>
    </font>
    <font>
      <b/>
      <sz val="9"/>
      <color indexed="81"/>
      <name val="Tahoma"/>
      <family val="2"/>
    </font>
    <font>
      <sz val="9"/>
      <color indexed="81"/>
      <name val="Tahoma"/>
      <family val="2"/>
    </font>
    <font>
      <b/>
      <sz val="10"/>
      <color rgb="FFFF0000"/>
      <name val="Times New Roman"/>
      <family val="1"/>
    </font>
    <font>
      <b/>
      <sz val="10"/>
      <color rgb="FF0000FF"/>
      <name val="Times New Roman"/>
      <family val="1"/>
    </font>
    <font>
      <sz val="10"/>
      <name val="Arial"/>
      <family val="2"/>
    </font>
    <font>
      <sz val="10"/>
      <name val="Arial MT"/>
    </font>
    <font>
      <sz val="10"/>
      <color indexed="8"/>
      <name val="Times New Roman"/>
      <family val="1"/>
    </font>
    <font>
      <sz val="11"/>
      <color indexed="8"/>
      <name val="Calibri"/>
      <family val="2"/>
    </font>
    <font>
      <b/>
      <sz val="10"/>
      <color indexed="8"/>
      <name val="Times New Roman"/>
      <family val="1"/>
    </font>
    <font>
      <sz val="10"/>
      <color theme="1"/>
      <name val="Times New Roman"/>
      <family val="1"/>
    </font>
    <font>
      <b/>
      <sz val="10"/>
      <color theme="1"/>
      <name val="Times New Roman"/>
      <family val="1"/>
    </font>
    <font>
      <b/>
      <vertAlign val="superscript"/>
      <sz val="10"/>
      <color theme="1"/>
      <name val="Times New Roman"/>
      <family val="1"/>
    </font>
    <font>
      <vertAlign val="superscript"/>
      <sz val="10"/>
      <color theme="1"/>
      <name val="Times New Roman"/>
      <family val="1"/>
    </font>
    <font>
      <b/>
      <u/>
      <sz val="10"/>
      <color theme="1"/>
      <name val="Times New Roman"/>
      <family val="1"/>
    </font>
    <font>
      <b/>
      <sz val="12"/>
      <color theme="1"/>
      <name val="Times New Roman"/>
      <family val="1"/>
    </font>
    <font>
      <vertAlign val="superscript"/>
      <sz val="10"/>
      <color rgb="FF0000FF"/>
      <name val="Times New Roman"/>
      <family val="1"/>
    </font>
    <font>
      <vertAlign val="superscript"/>
      <sz val="10"/>
      <name val="Times New Roman"/>
      <family val="1"/>
    </font>
    <font>
      <b/>
      <vertAlign val="superscript"/>
      <sz val="10"/>
      <name val="Times New Roman"/>
      <family val="1"/>
    </font>
    <font>
      <u/>
      <sz val="10"/>
      <name val="Times New Roman"/>
      <family val="1"/>
    </font>
    <font>
      <sz val="9"/>
      <color indexed="81"/>
      <name val="Tahoma"/>
      <charset val="1"/>
    </font>
    <font>
      <b/>
      <sz val="9"/>
      <color indexed="81"/>
      <name val="Tahoma"/>
      <charset val="1"/>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FF00"/>
        <bgColor indexed="64"/>
      </patternFill>
    </fill>
  </fills>
  <borders count="53">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thin">
        <color indexed="64"/>
      </top>
      <bottom style="double">
        <color indexed="64"/>
      </bottom>
      <diagonal/>
    </border>
    <border>
      <left/>
      <right/>
      <top/>
      <bottom style="hair">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4">
    <xf numFmtId="172" fontId="0" fillId="0" borderId="0" applyProtection="0"/>
    <xf numFmtId="9"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24" fillId="0" borderId="0"/>
    <xf numFmtId="0" fontId="24" fillId="0" borderId="0"/>
    <xf numFmtId="43" fontId="24" fillId="0" borderId="0" applyNumberFormat="0" applyFill="0" applyBorder="0" applyAlignment="0" applyProtection="0"/>
    <xf numFmtId="9" fontId="24" fillId="0" borderId="0" applyNumberFormat="0" applyFill="0" applyBorder="0" applyAlignment="0" applyProtection="0"/>
    <xf numFmtId="0" fontId="1" fillId="0" borderId="0"/>
    <xf numFmtId="43" fontId="27"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595">
    <xf numFmtId="172" fontId="0" fillId="0" borderId="0" xfId="0" applyAlignment="1"/>
    <xf numFmtId="172" fontId="2" fillId="0" borderId="0" xfId="0" applyFont="1" applyFill="1" applyAlignment="1" applyProtection="1"/>
    <xf numFmtId="170" fontId="2" fillId="0" borderId="0" xfId="0" applyNumberFormat="1" applyFont="1" applyFill="1" applyBorder="1" applyProtection="1"/>
    <xf numFmtId="170" fontId="2" fillId="2" borderId="0" xfId="0" applyNumberFormat="1" applyFont="1" applyFill="1" applyBorder="1" applyProtection="1"/>
    <xf numFmtId="170" fontId="2" fillId="0" borderId="0" xfId="0" applyNumberFormat="1" applyFont="1" applyFill="1" applyBorder="1" applyAlignment="1" applyProtection="1"/>
    <xf numFmtId="3" fontId="2" fillId="0" borderId="0" xfId="0" applyNumberFormat="1" applyFont="1" applyFill="1" applyAlignment="1" applyProtection="1"/>
    <xf numFmtId="172" fontId="2" fillId="0" borderId="0" xfId="0" applyFont="1" applyAlignment="1" applyProtection="1"/>
    <xf numFmtId="172" fontId="2" fillId="0" borderId="0" xfId="0" applyFont="1" applyAlignment="1" applyProtection="1">
      <alignment horizontal="right"/>
    </xf>
    <xf numFmtId="172" fontId="10" fillId="0" borderId="0" xfId="0" applyFont="1" applyBorder="1" applyAlignment="1" applyProtection="1">
      <alignment wrapText="1"/>
    </xf>
    <xf numFmtId="0" fontId="2" fillId="0" borderId="0" xfId="0" applyNumberFormat="1" applyFont="1" applyAlignment="1" applyProtection="1"/>
    <xf numFmtId="0" fontId="2" fillId="0" borderId="0" xfId="0" applyNumberFormat="1" applyFont="1" applyAlignment="1" applyProtection="1">
      <alignment horizontal="left"/>
    </xf>
    <xf numFmtId="0" fontId="2" fillId="0" borderId="0" xfId="0" applyNumberFormat="1" applyFont="1" applyProtection="1"/>
    <xf numFmtId="0" fontId="2" fillId="0" borderId="0" xfId="0" applyNumberFormat="1" applyFont="1" applyAlignment="1" applyProtection="1">
      <alignment horizontal="right"/>
    </xf>
    <xf numFmtId="0" fontId="2" fillId="0" borderId="0" xfId="0" applyNumberFormat="1" applyFont="1" applyAlignment="1" applyProtection="1">
      <alignment horizontal="center"/>
    </xf>
    <xf numFmtId="0" fontId="2" fillId="2" borderId="0" xfId="0" applyNumberFormat="1" applyFont="1" applyFill="1" applyProtection="1"/>
    <xf numFmtId="172" fontId="2" fillId="2" borderId="0" xfId="0" applyFont="1" applyFill="1" applyAlignment="1" applyProtection="1"/>
    <xf numFmtId="0" fontId="2" fillId="2" borderId="0" xfId="0" applyNumberFormat="1" applyFont="1" applyFill="1" applyAlignment="1" applyProtection="1">
      <alignment horizontal="right"/>
    </xf>
    <xf numFmtId="3" fontId="2" fillId="0" borderId="0" xfId="0" applyNumberFormat="1" applyFont="1" applyAlignment="1" applyProtection="1"/>
    <xf numFmtId="0" fontId="2" fillId="0" borderId="0" xfId="0" applyNumberFormat="1" applyFont="1" applyBorder="1" applyProtection="1"/>
    <xf numFmtId="172" fontId="2" fillId="0" borderId="0" xfId="0" applyFont="1" applyBorder="1" applyAlignment="1" applyProtection="1"/>
    <xf numFmtId="172" fontId="11" fillId="0" borderId="0" xfId="0" applyFont="1" applyBorder="1" applyAlignment="1" applyProtection="1">
      <alignment wrapText="1"/>
    </xf>
    <xf numFmtId="49" fontId="2" fillId="2" borderId="0" xfId="0" applyNumberFormat="1" applyFont="1" applyFill="1" applyProtection="1"/>
    <xf numFmtId="49" fontId="2" fillId="0" borderId="0" xfId="0" applyNumberFormat="1" applyFont="1" applyProtection="1"/>
    <xf numFmtId="0" fontId="2" fillId="0" borderId="1" xfId="0" applyNumberFormat="1" applyFont="1" applyBorder="1" applyAlignment="1" applyProtection="1">
      <alignment horizontal="center"/>
    </xf>
    <xf numFmtId="3" fontId="2" fillId="0" borderId="0" xfId="0" applyNumberFormat="1" applyFont="1" applyProtection="1"/>
    <xf numFmtId="42" fontId="2" fillId="0" borderId="0" xfId="0" applyNumberFormat="1" applyFont="1" applyProtection="1"/>
    <xf numFmtId="0" fontId="2" fillId="0" borderId="1" xfId="0" applyNumberFormat="1" applyFont="1" applyBorder="1" applyAlignment="1" applyProtection="1">
      <alignment horizontal="centerContinuous"/>
    </xf>
    <xf numFmtId="166" fontId="2" fillId="0" borderId="0" xfId="0" applyNumberFormat="1" applyFont="1" applyAlignment="1" applyProtection="1"/>
    <xf numFmtId="3" fontId="2" fillId="2" borderId="0" xfId="0" applyNumberFormat="1" applyFont="1" applyFill="1" applyProtection="1"/>
    <xf numFmtId="3" fontId="2" fillId="0" borderId="1" xfId="0" applyNumberFormat="1" applyFont="1" applyBorder="1" applyAlignment="1" applyProtection="1"/>
    <xf numFmtId="3" fontId="2" fillId="0" borderId="0" xfId="0" applyNumberFormat="1" applyFont="1" applyAlignment="1" applyProtection="1">
      <alignment horizontal="fill"/>
    </xf>
    <xf numFmtId="3" fontId="2" fillId="3" borderId="0" xfId="0" applyNumberFormat="1" applyFont="1" applyFill="1" applyAlignment="1" applyProtection="1"/>
    <xf numFmtId="3" fontId="2" fillId="0" borderId="3" xfId="0" applyNumberFormat="1" applyFont="1" applyBorder="1" applyAlignment="1" applyProtection="1"/>
    <xf numFmtId="42" fontId="2" fillId="0" borderId="2" xfId="0" applyNumberFormat="1" applyFont="1" applyBorder="1" applyAlignment="1" applyProtection="1">
      <alignment horizontal="right"/>
    </xf>
    <xf numFmtId="3" fontId="2" fillId="0" borderId="0" xfId="0" applyNumberFormat="1" applyFont="1" applyFill="1" applyBorder="1" applyProtection="1"/>
    <xf numFmtId="3" fontId="2" fillId="2" borderId="0" xfId="0" applyNumberFormat="1" applyFont="1" applyFill="1" applyBorder="1" applyProtection="1"/>
    <xf numFmtId="3" fontId="2" fillId="2" borderId="1" xfId="0" applyNumberFormat="1" applyFont="1" applyFill="1" applyBorder="1" applyProtection="1"/>
    <xf numFmtId="168" fontId="2" fillId="0" borderId="0" xfId="0" applyNumberFormat="1" applyFont="1" applyProtection="1"/>
    <xf numFmtId="168" fontId="2" fillId="0" borderId="0" xfId="0" applyNumberFormat="1" applyFont="1" applyAlignment="1" applyProtection="1">
      <alignment horizontal="center"/>
    </xf>
    <xf numFmtId="172" fontId="2" fillId="0" borderId="0" xfId="0" applyFont="1" applyAlignment="1" applyProtection="1">
      <alignment horizontal="center"/>
    </xf>
    <xf numFmtId="171" fontId="2" fillId="0" borderId="0" xfId="0" applyNumberFormat="1" applyFont="1" applyAlignment="1" applyProtection="1"/>
    <xf numFmtId="171" fontId="2" fillId="2" borderId="0" xfId="0" applyNumberFormat="1" applyFont="1" applyFill="1" applyProtection="1"/>
    <xf numFmtId="171" fontId="2" fillId="0" borderId="0" xfId="0" applyNumberFormat="1" applyFont="1" applyProtection="1"/>
    <xf numFmtId="49" fontId="2" fillId="0" borderId="0" xfId="0" applyNumberFormat="1" applyFont="1" applyAlignment="1" applyProtection="1">
      <alignment horizontal="left"/>
    </xf>
    <xf numFmtId="49" fontId="2" fillId="0" borderId="0" xfId="0" applyNumberFormat="1" applyFont="1" applyAlignment="1" applyProtection="1">
      <alignment horizontal="center"/>
    </xf>
    <xf numFmtId="3" fontId="5" fillId="0" borderId="0" xfId="0" applyNumberFormat="1" applyFont="1" applyAlignment="1" applyProtection="1">
      <alignment horizontal="center"/>
    </xf>
    <xf numFmtId="0" fontId="5" fillId="0" borderId="0" xfId="0" applyNumberFormat="1" applyFont="1" applyAlignment="1" applyProtection="1">
      <alignment horizontal="center"/>
    </xf>
    <xf numFmtId="0" fontId="5" fillId="0" borderId="0" xfId="0" applyNumberFormat="1" applyFont="1" applyAlignment="1" applyProtection="1"/>
    <xf numFmtId="172" fontId="5" fillId="0" borderId="0" xfId="0" applyFont="1" applyAlignment="1" applyProtection="1">
      <alignment horizontal="center"/>
    </xf>
    <xf numFmtId="3" fontId="5" fillId="0" borderId="0" xfId="0" applyNumberFormat="1" applyFont="1" applyAlignment="1" applyProtection="1"/>
    <xf numFmtId="3" fontId="2" fillId="2" borderId="0" xfId="0" applyNumberFormat="1" applyFont="1" applyFill="1" applyBorder="1" applyAlignment="1" applyProtection="1"/>
    <xf numFmtId="165" fontId="2" fillId="0" borderId="0" xfId="0" applyNumberFormat="1" applyFont="1" applyAlignment="1" applyProtection="1"/>
    <xf numFmtId="3" fontId="2" fillId="2" borderId="1" xfId="0" applyNumberFormat="1" applyFont="1" applyFill="1" applyBorder="1" applyAlignment="1" applyProtection="1"/>
    <xf numFmtId="164" fontId="2" fillId="0" borderId="0" xfId="0" applyNumberFormat="1" applyFont="1" applyAlignment="1" applyProtection="1">
      <alignment horizontal="center"/>
    </xf>
    <xf numFmtId="3" fontId="2" fillId="2" borderId="0" xfId="0" applyNumberFormat="1" applyFont="1" applyFill="1" applyAlignment="1" applyProtection="1"/>
    <xf numFmtId="165" fontId="2" fillId="0" borderId="0" xfId="0" applyNumberFormat="1" applyFont="1" applyAlignment="1" applyProtection="1">
      <alignment horizontal="right"/>
    </xf>
    <xf numFmtId="3" fontId="2" fillId="0" borderId="0" xfId="0" applyNumberFormat="1" applyFont="1" applyAlignment="1" applyProtection="1">
      <alignment horizontal="center"/>
    </xf>
    <xf numFmtId="172" fontId="2" fillId="0" borderId="1" xfId="0" applyFont="1" applyBorder="1" applyAlignment="1" applyProtection="1"/>
    <xf numFmtId="3" fontId="2" fillId="0" borderId="2" xfId="0" applyNumberFormat="1" applyFont="1" applyBorder="1" applyAlignment="1" applyProtection="1"/>
    <xf numFmtId="3" fontId="2" fillId="0" borderId="0" xfId="0" applyNumberFormat="1" applyFont="1" applyAlignment="1" applyProtection="1">
      <alignment horizontal="right"/>
    </xf>
    <xf numFmtId="0" fontId="2" fillId="0" borderId="0" xfId="0" applyNumberFormat="1" applyFont="1" applyFill="1" applyAlignment="1" applyProtection="1">
      <alignment horizontal="center"/>
    </xf>
    <xf numFmtId="0" fontId="2" fillId="0" borderId="0" xfId="0" applyNumberFormat="1" applyFont="1" applyFill="1" applyAlignment="1" applyProtection="1"/>
    <xf numFmtId="3" fontId="9" fillId="0" borderId="0" xfId="0" applyNumberFormat="1" applyFont="1" applyAlignment="1" applyProtection="1"/>
    <xf numFmtId="166" fontId="2" fillId="0" borderId="0" xfId="0" applyNumberFormat="1" applyFont="1" applyAlignment="1" applyProtection="1">
      <alignment horizontal="right"/>
    </xf>
    <xf numFmtId="10" fontId="2" fillId="0" borderId="0" xfId="0" applyNumberFormat="1" applyFont="1" applyAlignment="1" applyProtection="1">
      <alignment horizontal="left"/>
    </xf>
    <xf numFmtId="166" fontId="2" fillId="0" borderId="0" xfId="0" applyNumberFormat="1" applyFont="1" applyAlignment="1" applyProtection="1">
      <alignment horizontal="center"/>
    </xf>
    <xf numFmtId="164" fontId="2" fillId="0" borderId="0" xfId="0" applyNumberFormat="1" applyFont="1" applyAlignment="1" applyProtection="1">
      <alignment horizontal="left"/>
    </xf>
    <xf numFmtId="10" fontId="2" fillId="0" borderId="0" xfId="0" applyNumberFormat="1" applyFont="1" applyFill="1" applyAlignment="1" applyProtection="1">
      <alignment horizontal="right"/>
    </xf>
    <xf numFmtId="169" fontId="2" fillId="0" borderId="0" xfId="0" applyNumberFormat="1" applyFont="1" applyFill="1" applyAlignment="1" applyProtection="1">
      <alignment horizontal="right"/>
    </xf>
    <xf numFmtId="3" fontId="2" fillId="0" borderId="0" xfId="0" applyNumberFormat="1" applyFont="1" applyFill="1" applyAlignment="1" applyProtection="1">
      <alignment horizontal="right"/>
    </xf>
    <xf numFmtId="167" fontId="2" fillId="0" borderId="0" xfId="0" applyNumberFormat="1" applyFont="1" applyAlignment="1" applyProtection="1"/>
    <xf numFmtId="3" fontId="2" fillId="0" borderId="0" xfId="0" applyNumberFormat="1" applyFont="1" applyBorder="1" applyAlignment="1" applyProtection="1"/>
    <xf numFmtId="0" fontId="2" fillId="2" borderId="0" xfId="0" applyNumberFormat="1" applyFont="1" applyFill="1" applyBorder="1" applyAlignment="1" applyProtection="1"/>
    <xf numFmtId="0" fontId="2" fillId="2" borderId="1" xfId="0" applyNumberFormat="1" applyFont="1" applyFill="1" applyBorder="1" applyAlignment="1" applyProtection="1"/>
    <xf numFmtId="3" fontId="2" fillId="0" borderId="2" xfId="0" applyNumberFormat="1" applyFont="1" applyFill="1" applyBorder="1" applyAlignment="1" applyProtection="1"/>
    <xf numFmtId="0" fontId="2" fillId="0" borderId="0" xfId="0" applyNumberFormat="1" applyFont="1" applyFill="1" applyProtection="1"/>
    <xf numFmtId="0" fontId="3" fillId="0" borderId="0" xfId="0" applyNumberFormat="1" applyFont="1" applyAlignment="1" applyProtection="1">
      <alignment horizontal="center"/>
    </xf>
    <xf numFmtId="172" fontId="3" fillId="0" borderId="0" xfId="0" applyFont="1" applyAlignment="1" applyProtection="1"/>
    <xf numFmtId="3" fontId="3" fillId="0" borderId="0" xfId="0" applyNumberFormat="1" applyFont="1" applyAlignment="1" applyProtection="1"/>
    <xf numFmtId="0" fontId="3" fillId="0" borderId="0" xfId="0" applyNumberFormat="1" applyFont="1" applyProtection="1"/>
    <xf numFmtId="0" fontId="2" fillId="0" borderId="1" xfId="0" applyNumberFormat="1" applyFont="1" applyBorder="1" applyProtection="1"/>
    <xf numFmtId="49" fontId="2" fillId="0" borderId="0" xfId="0" applyNumberFormat="1" applyFont="1" applyAlignment="1" applyProtection="1"/>
    <xf numFmtId="172" fontId="2" fillId="0" borderId="0" xfId="0" applyFont="1" applyFill="1" applyBorder="1" applyAlignment="1" applyProtection="1"/>
    <xf numFmtId="172" fontId="8" fillId="0" borderId="0" xfId="0" applyFont="1" applyFill="1" applyBorder="1" applyAlignment="1" applyProtection="1"/>
    <xf numFmtId="0" fontId="2" fillId="0" borderId="0" xfId="0" applyNumberFormat="1" applyFont="1" applyFill="1" applyBorder="1" applyProtection="1"/>
    <xf numFmtId="3" fontId="2" fillId="0" borderId="0" xfId="0" applyNumberFormat="1" applyFont="1" applyFill="1" applyBorder="1" applyAlignment="1" applyProtection="1"/>
    <xf numFmtId="0" fontId="2" fillId="0" borderId="0" xfId="0" applyNumberFormat="1" applyFont="1" applyFill="1" applyBorder="1" applyAlignment="1" applyProtection="1"/>
    <xf numFmtId="172" fontId="4" fillId="0" borderId="0" xfId="0" applyFont="1" applyFill="1" applyBorder="1" applyAlignment="1" applyProtection="1"/>
    <xf numFmtId="0" fontId="2" fillId="0" borderId="0" xfId="0" applyNumberFormat="1" applyFont="1" applyFill="1" applyBorder="1" applyAlignment="1" applyProtection="1">
      <alignment horizontal="center"/>
    </xf>
    <xf numFmtId="172" fontId="7" fillId="0" borderId="0" xfId="0" applyFont="1" applyFill="1" applyBorder="1" applyProtection="1"/>
    <xf numFmtId="165" fontId="2" fillId="0" borderId="0" xfId="0" applyNumberFormat="1" applyFont="1" applyProtection="1"/>
    <xf numFmtId="172" fontId="4" fillId="0" borderId="0" xfId="0" applyFont="1" applyFill="1" applyBorder="1" applyProtection="1"/>
    <xf numFmtId="166" fontId="2" fillId="0" borderId="0" xfId="0" applyNumberFormat="1" applyFont="1" applyProtection="1"/>
    <xf numFmtId="3" fontId="2" fillId="0" borderId="1" xfId="0" applyNumberFormat="1" applyFont="1" applyBorder="1" applyAlignment="1" applyProtection="1">
      <alignment horizontal="center"/>
    </xf>
    <xf numFmtId="4" fontId="2" fillId="0" borderId="0" xfId="0" applyNumberFormat="1" applyFont="1" applyAlignment="1" applyProtection="1"/>
    <xf numFmtId="3" fontId="2" fillId="0" borderId="0" xfId="0" applyNumberFormat="1" applyFont="1" applyBorder="1" applyAlignment="1" applyProtection="1">
      <alignment horizontal="center"/>
    </xf>
    <xf numFmtId="0" fontId="2" fillId="0" borderId="1" xfId="0" applyNumberFormat="1" applyFont="1" applyBorder="1" applyAlignment="1" applyProtection="1"/>
    <xf numFmtId="170" fontId="2" fillId="2" borderId="0" xfId="0" applyNumberFormat="1" applyFont="1" applyFill="1" applyAlignment="1" applyProtection="1"/>
    <xf numFmtId="9" fontId="2" fillId="0" borderId="0" xfId="0" applyNumberFormat="1" applyFont="1" applyAlignment="1" applyProtection="1"/>
    <xf numFmtId="169" fontId="2" fillId="0" borderId="0" xfId="0" applyNumberFormat="1" applyFont="1" applyAlignment="1" applyProtection="1"/>
    <xf numFmtId="10" fontId="2" fillId="0" borderId="0" xfId="0" applyNumberFormat="1" applyFont="1" applyAlignment="1" applyProtection="1"/>
    <xf numFmtId="3" fontId="2" fillId="0" borderId="0" xfId="0" quotePrefix="1" applyNumberFormat="1" applyFont="1" applyAlignment="1" applyProtection="1"/>
    <xf numFmtId="9" fontId="2" fillId="0" borderId="1" xfId="0" applyNumberFormat="1" applyFont="1" applyBorder="1" applyAlignment="1" applyProtection="1"/>
    <xf numFmtId="169" fontId="2" fillId="0" borderId="1" xfId="0" applyNumberFormat="1" applyFont="1" applyBorder="1" applyAlignment="1" applyProtection="1"/>
    <xf numFmtId="9" fontId="2" fillId="0" borderId="0" xfId="0" applyNumberFormat="1" applyFont="1" applyFill="1" applyAlignment="1" applyProtection="1"/>
    <xf numFmtId="172" fontId="2" fillId="0" borderId="4" xfId="0" applyFont="1" applyBorder="1" applyAlignment="1" applyProtection="1"/>
    <xf numFmtId="172" fontId="2" fillId="0" borderId="5" xfId="0" applyFont="1" applyBorder="1" applyAlignment="1" applyProtection="1"/>
    <xf numFmtId="172" fontId="2" fillId="0" borderId="6" xfId="0" applyFont="1" applyBorder="1" applyAlignment="1" applyProtection="1"/>
    <xf numFmtId="10" fontId="2" fillId="2" borderId="0" xfId="0" applyNumberFormat="1" applyFont="1" applyFill="1" applyAlignment="1" applyProtection="1"/>
    <xf numFmtId="172" fontId="2" fillId="0" borderId="7" xfId="0" applyFont="1" applyBorder="1" applyAlignment="1" applyProtection="1"/>
    <xf numFmtId="172" fontId="2" fillId="0" borderId="8" xfId="0" applyFont="1" applyBorder="1" applyAlignment="1" applyProtection="1"/>
    <xf numFmtId="10" fontId="11" fillId="4" borderId="8" xfId="1" applyNumberFormat="1" applyFont="1" applyFill="1" applyBorder="1" applyAlignment="1" applyProtection="1"/>
    <xf numFmtId="172" fontId="2" fillId="0" borderId="9" xfId="0" applyFont="1" applyBorder="1" applyAlignment="1" applyProtection="1"/>
    <xf numFmtId="172" fontId="2" fillId="0" borderId="10" xfId="0" applyFont="1" applyBorder="1" applyAlignment="1" applyProtection="1"/>
    <xf numFmtId="172" fontId="2" fillId="0" borderId="11" xfId="0" applyFont="1" applyBorder="1" applyAlignment="1" applyProtection="1"/>
    <xf numFmtId="171" fontId="2" fillId="0" borderId="0" xfId="0" applyNumberFormat="1" applyFont="1" applyBorder="1" applyProtection="1"/>
    <xf numFmtId="170" fontId="2" fillId="2" borderId="0" xfId="0" applyNumberFormat="1" applyFont="1" applyFill="1" applyBorder="1" applyAlignment="1" applyProtection="1"/>
    <xf numFmtId="3" fontId="4" fillId="0" borderId="0" xfId="0" applyNumberFormat="1" applyFont="1" applyAlignment="1" applyProtection="1">
      <alignment horizontal="left"/>
    </xf>
    <xf numFmtId="0" fontId="2" fillId="0" borderId="0" xfId="0" applyNumberFormat="1" applyFont="1" applyBorder="1" applyAlignment="1" applyProtection="1"/>
    <xf numFmtId="0" fontId="2" fillId="0" borderId="1" xfId="0" applyNumberFormat="1" applyFont="1" applyFill="1" applyBorder="1" applyAlignment="1" applyProtection="1"/>
    <xf numFmtId="0" fontId="2" fillId="0" borderId="1" xfId="0" applyNumberFormat="1" applyFont="1" applyFill="1" applyBorder="1" applyProtection="1"/>
    <xf numFmtId="170" fontId="2" fillId="2" borderId="1" xfId="0" applyNumberFormat="1" applyFont="1" applyFill="1" applyBorder="1" applyAlignment="1" applyProtection="1"/>
    <xf numFmtId="172" fontId="2" fillId="0" borderId="0" xfId="0" applyNumberFormat="1" applyFont="1" applyAlignment="1" applyProtection="1"/>
    <xf numFmtId="0" fontId="3" fillId="0" borderId="0" xfId="0" applyNumberFormat="1" applyFont="1" applyAlignment="1" applyProtection="1"/>
    <xf numFmtId="170" fontId="2" fillId="0" borderId="0" xfId="0" applyNumberFormat="1" applyFont="1" applyAlignment="1" applyProtection="1">
      <alignment horizontal="right"/>
    </xf>
    <xf numFmtId="170" fontId="2" fillId="0" borderId="0" xfId="0" applyNumberFormat="1" applyFont="1" applyProtection="1"/>
    <xf numFmtId="0" fontId="2" fillId="0" borderId="0" xfId="0" applyNumberFormat="1" applyFont="1" applyAlignment="1" applyProtection="1">
      <alignment horizontal="left" indent="8"/>
    </xf>
    <xf numFmtId="0" fontId="2" fillId="0" borderId="0" xfId="0" applyNumberFormat="1" applyFont="1" applyAlignment="1" applyProtection="1">
      <alignment horizontal="center" vertical="top" wrapText="1"/>
    </xf>
    <xf numFmtId="0" fontId="2" fillId="0" borderId="0" xfId="0" applyNumberFormat="1" applyFont="1" applyFill="1" applyAlignment="1" applyProtection="1">
      <alignment horizontal="left" vertical="top" wrapText="1" indent="8"/>
    </xf>
    <xf numFmtId="0" fontId="2" fillId="0" borderId="0" xfId="0" applyNumberFormat="1" applyFont="1" applyFill="1" applyAlignment="1" applyProtection="1">
      <alignment vertical="top" wrapText="1"/>
    </xf>
    <xf numFmtId="10" fontId="2" fillId="2" borderId="0" xfId="0" applyNumberFormat="1" applyFont="1" applyFill="1" applyAlignment="1" applyProtection="1">
      <alignment vertical="top" wrapText="1"/>
    </xf>
    <xf numFmtId="3" fontId="2" fillId="0" borderId="0" xfId="0" applyNumberFormat="1" applyFont="1" applyAlignment="1" applyProtection="1">
      <alignment vertical="top" wrapText="1"/>
    </xf>
    <xf numFmtId="0" fontId="2" fillId="0" borderId="0" xfId="0" applyNumberFormat="1" applyFont="1" applyAlignment="1" applyProtection="1">
      <alignment vertical="top" wrapText="1"/>
    </xf>
    <xf numFmtId="0" fontId="4" fillId="0" borderId="0" xfId="0" applyNumberFormat="1" applyFont="1" applyFill="1" applyAlignment="1" applyProtection="1">
      <alignment horizontal="left"/>
    </xf>
    <xf numFmtId="172" fontId="2" fillId="0" borderId="0" xfId="0" applyFont="1" applyAlignment="1" applyProtection="1">
      <alignment horizontal="center" vertical="top" wrapText="1"/>
    </xf>
    <xf numFmtId="172" fontId="2" fillId="0" borderId="0" xfId="0" applyFont="1" applyFill="1" applyAlignment="1" applyProtection="1">
      <alignment horizontal="center" vertical="top" wrapText="1"/>
    </xf>
    <xf numFmtId="0" fontId="2" fillId="0" borderId="0" xfId="0" applyNumberFormat="1" applyFont="1" applyFill="1" applyAlignment="1" applyProtection="1">
      <alignment horizontal="left" vertical="top"/>
    </xf>
    <xf numFmtId="0" fontId="3" fillId="0" borderId="0" xfId="0" applyNumberFormat="1" applyFont="1" applyAlignment="1" applyProtection="1">
      <alignment vertical="top" wrapText="1"/>
    </xf>
    <xf numFmtId="0" fontId="2" fillId="0" borderId="0" xfId="0" applyNumberFormat="1" applyFont="1" applyFill="1" applyAlignment="1" applyProtection="1">
      <alignment vertical="top"/>
    </xf>
    <xf numFmtId="172" fontId="0" fillId="0" borderId="0" xfId="0" applyFont="1" applyAlignment="1" applyProtection="1">
      <alignment horizontal="center"/>
    </xf>
    <xf numFmtId="0" fontId="2" fillId="0" borderId="0" xfId="0" applyNumberFormat="1" applyFont="1" applyAlignment="1" applyProtection="1">
      <alignment horizontal="center" wrapText="1"/>
    </xf>
    <xf numFmtId="172" fontId="13" fillId="0" borderId="0" xfId="0" applyFont="1" applyAlignment="1">
      <alignment horizontal="centerContinuous"/>
    </xf>
    <xf numFmtId="172" fontId="14" fillId="0" borderId="0" xfId="0" applyFont="1"/>
    <xf numFmtId="172" fontId="14" fillId="0" borderId="0" xfId="0" applyFont="1" applyAlignment="1">
      <alignment horizontal="centerContinuous"/>
    </xf>
    <xf numFmtId="14" fontId="13" fillId="0" borderId="0" xfId="0" applyNumberFormat="1" applyFont="1" applyAlignment="1">
      <alignment horizontal="centerContinuous"/>
    </xf>
    <xf numFmtId="172" fontId="14" fillId="0" borderId="0" xfId="0" applyFont="1" applyFill="1"/>
    <xf numFmtId="172" fontId="15" fillId="0" borderId="12" xfId="0" applyFont="1" applyBorder="1" applyAlignment="1">
      <alignment horizontal="center"/>
    </xf>
    <xf numFmtId="172" fontId="15" fillId="0" borderId="13" xfId="0" applyFont="1" applyBorder="1"/>
    <xf numFmtId="172" fontId="15" fillId="0" borderId="13" xfId="0" applyFont="1" applyFill="1" applyBorder="1" applyAlignment="1">
      <alignment horizontal="center"/>
    </xf>
    <xf numFmtId="172" fontId="15" fillId="0" borderId="13" xfId="0" applyFont="1" applyFill="1" applyBorder="1"/>
    <xf numFmtId="172" fontId="15" fillId="0" borderId="14" xfId="0" applyFont="1" applyFill="1" applyBorder="1" applyAlignment="1">
      <alignment horizontal="center"/>
    </xf>
    <xf numFmtId="172" fontId="15" fillId="0" borderId="15" xfId="0" applyFont="1" applyBorder="1" applyAlignment="1">
      <alignment horizontal="center"/>
    </xf>
    <xf numFmtId="172" fontId="15" fillId="0" borderId="11" xfId="0" applyFont="1" applyBorder="1" applyAlignment="1">
      <alignment horizontal="center"/>
    </xf>
    <xf numFmtId="172" fontId="15" fillId="0" borderId="11" xfId="0" applyFont="1" applyFill="1" applyBorder="1" applyAlignment="1">
      <alignment horizontal="center"/>
    </xf>
    <xf numFmtId="172" fontId="15" fillId="0" borderId="16" xfId="0" applyFont="1" applyFill="1" applyBorder="1" applyAlignment="1">
      <alignment horizontal="center"/>
    </xf>
    <xf numFmtId="172" fontId="14" fillId="0" borderId="17" xfId="0" applyFont="1" applyBorder="1" applyAlignment="1">
      <alignment horizontal="center"/>
    </xf>
    <xf numFmtId="172" fontId="15" fillId="0" borderId="18" xfId="0" applyFont="1" applyBorder="1" applyAlignment="1">
      <alignment horizontal="center"/>
    </xf>
    <xf numFmtId="43" fontId="14" fillId="0" borderId="18" xfId="2" applyFont="1" applyFill="1" applyBorder="1"/>
    <xf numFmtId="172" fontId="14" fillId="0" borderId="18" xfId="0" applyFont="1" applyFill="1" applyBorder="1" applyAlignment="1">
      <alignment horizontal="center"/>
    </xf>
    <xf numFmtId="172" fontId="15" fillId="0" borderId="18" xfId="0" applyFont="1" applyFill="1" applyBorder="1" applyAlignment="1">
      <alignment horizontal="center"/>
    </xf>
    <xf numFmtId="43" fontId="14" fillId="0" borderId="19" xfId="2" applyFont="1" applyFill="1" applyBorder="1"/>
    <xf numFmtId="173" fontId="14" fillId="0" borderId="17" xfId="2" applyNumberFormat="1" applyFont="1" applyBorder="1" applyAlignment="1">
      <alignment horizontal="center" vertical="center"/>
    </xf>
    <xf numFmtId="172" fontId="14" fillId="0" borderId="20" xfId="0" applyFont="1" applyBorder="1"/>
    <xf numFmtId="37" fontId="14" fillId="0" borderId="20" xfId="2" applyNumberFormat="1" applyFont="1" applyFill="1" applyBorder="1"/>
    <xf numFmtId="172" fontId="14" fillId="0" borderId="20" xfId="0" applyFont="1" applyFill="1" applyBorder="1" applyAlignment="1">
      <alignment horizontal="center"/>
    </xf>
    <xf numFmtId="172" fontId="14" fillId="0" borderId="20" xfId="0" applyFont="1" applyFill="1" applyBorder="1"/>
    <xf numFmtId="37" fontId="14" fillId="0" borderId="21" xfId="2" applyNumberFormat="1" applyFont="1" applyFill="1" applyBorder="1"/>
    <xf numFmtId="173" fontId="14" fillId="0" borderId="15" xfId="2" applyNumberFormat="1" applyFont="1" applyBorder="1" applyAlignment="1">
      <alignment vertical="center"/>
    </xf>
    <xf numFmtId="172" fontId="14" fillId="0" borderId="22" xfId="0" applyFont="1" applyBorder="1" applyAlignment="1">
      <alignment horizontal="left" indent="1"/>
    </xf>
    <xf numFmtId="174" fontId="14" fillId="0" borderId="22" xfId="3" applyNumberFormat="1" applyFont="1" applyFill="1" applyBorder="1"/>
    <xf numFmtId="173" fontId="14" fillId="0" borderId="22" xfId="2" applyNumberFormat="1" applyFont="1" applyFill="1" applyBorder="1" applyAlignment="1">
      <alignment horizontal="center"/>
    </xf>
    <xf numFmtId="172" fontId="14" fillId="0" borderId="22" xfId="0" applyFont="1" applyFill="1" applyBorder="1"/>
    <xf numFmtId="174" fontId="16" fillId="0" borderId="23" xfId="3" applyNumberFormat="1" applyFont="1" applyFill="1" applyBorder="1"/>
    <xf numFmtId="173" fontId="14" fillId="0" borderId="24" xfId="2" applyNumberFormat="1" applyFont="1" applyBorder="1" applyAlignment="1">
      <alignment vertical="center"/>
    </xf>
    <xf numFmtId="172" fontId="14" fillId="0" borderId="25" xfId="0" applyFont="1" applyBorder="1"/>
    <xf numFmtId="173" fontId="14" fillId="0" borderId="22" xfId="2" applyNumberFormat="1" applyFont="1" applyFill="1" applyBorder="1"/>
    <xf numFmtId="173" fontId="14" fillId="0" borderId="25" xfId="2" applyNumberFormat="1" applyFont="1" applyFill="1" applyBorder="1" applyAlignment="1">
      <alignment horizontal="center"/>
    </xf>
    <xf numFmtId="172" fontId="14" fillId="0" borderId="25" xfId="0" applyFont="1" applyFill="1" applyBorder="1"/>
    <xf numFmtId="173" fontId="14" fillId="0" borderId="23" xfId="2" applyNumberFormat="1" applyFont="1" applyFill="1" applyBorder="1"/>
    <xf numFmtId="173" fontId="14" fillId="0" borderId="17" xfId="2" applyNumberFormat="1" applyFont="1" applyBorder="1" applyAlignment="1">
      <alignment vertical="center"/>
    </xf>
    <xf numFmtId="173" fontId="14" fillId="0" borderId="20" xfId="2" applyNumberFormat="1" applyFont="1" applyFill="1" applyBorder="1" applyAlignment="1">
      <alignment horizontal="center"/>
    </xf>
    <xf numFmtId="172" fontId="14" fillId="0" borderId="20" xfId="0" applyFont="1" applyBorder="1" applyAlignment="1">
      <alignment horizontal="left" indent="1"/>
    </xf>
    <xf numFmtId="172" fontId="14" fillId="0" borderId="22" xfId="0" applyFont="1" applyFill="1" applyBorder="1" applyAlignment="1">
      <alignment horizontal="left" indent="1"/>
    </xf>
    <xf numFmtId="43" fontId="14" fillId="0" borderId="0" xfId="0" applyNumberFormat="1" applyFont="1"/>
    <xf numFmtId="172" fontId="15" fillId="0" borderId="26" xfId="0" applyFont="1" applyFill="1" applyBorder="1"/>
    <xf numFmtId="37" fontId="15" fillId="0" borderId="27" xfId="2" applyNumberFormat="1" applyFont="1" applyFill="1" applyBorder="1"/>
    <xf numFmtId="173" fontId="14" fillId="0" borderId="28" xfId="2" applyNumberFormat="1" applyFont="1" applyFill="1" applyBorder="1" applyAlignment="1">
      <alignment horizontal="center"/>
    </xf>
    <xf numFmtId="172" fontId="15" fillId="0" borderId="29" xfId="0" applyFont="1" applyFill="1" applyBorder="1"/>
    <xf numFmtId="173" fontId="14" fillId="0" borderId="30" xfId="2" applyNumberFormat="1" applyFont="1" applyFill="1" applyBorder="1" applyAlignment="1">
      <alignment vertical="center"/>
    </xf>
    <xf numFmtId="173" fontId="17" fillId="0" borderId="22" xfId="2" applyNumberFormat="1" applyFont="1" applyFill="1" applyBorder="1"/>
    <xf numFmtId="172" fontId="15" fillId="0" borderId="20" xfId="0" applyFont="1" applyFill="1" applyBorder="1" applyAlignment="1">
      <alignment horizontal="center"/>
    </xf>
    <xf numFmtId="173" fontId="14" fillId="0" borderId="17" xfId="2" applyNumberFormat="1" applyFont="1" applyFill="1" applyBorder="1" applyAlignment="1">
      <alignment vertical="center"/>
    </xf>
    <xf numFmtId="172" fontId="14" fillId="0" borderId="7" xfId="0" applyFont="1" applyBorder="1"/>
    <xf numFmtId="173" fontId="14" fillId="0" borderId="8" xfId="2" applyNumberFormat="1" applyFont="1" applyFill="1" applyBorder="1" applyAlignment="1">
      <alignment horizontal="center"/>
    </xf>
    <xf numFmtId="173" fontId="14" fillId="0" borderId="31" xfId="2" applyNumberFormat="1" applyFont="1" applyBorder="1" applyAlignment="1">
      <alignment vertical="center"/>
    </xf>
    <xf numFmtId="172" fontId="15" fillId="0" borderId="18" xfId="0" applyFont="1" applyBorder="1"/>
    <xf numFmtId="37" fontId="15" fillId="0" borderId="18" xfId="2" applyNumberFormat="1" applyFont="1" applyFill="1" applyBorder="1"/>
    <xf numFmtId="172" fontId="15" fillId="0" borderId="23" xfId="0" applyFont="1" applyBorder="1"/>
    <xf numFmtId="173" fontId="14" fillId="0" borderId="11" xfId="2" applyNumberFormat="1" applyFont="1" applyFill="1" applyBorder="1" applyAlignment="1">
      <alignment horizontal="center"/>
    </xf>
    <xf numFmtId="172" fontId="15" fillId="0" borderId="20" xfId="0" applyFont="1" applyBorder="1" applyAlignment="1">
      <alignment horizontal="center"/>
    </xf>
    <xf numFmtId="37" fontId="17" fillId="0" borderId="21" xfId="2" applyNumberFormat="1" applyFont="1" applyFill="1" applyBorder="1"/>
    <xf numFmtId="172" fontId="14" fillId="0" borderId="22" xfId="0" applyFont="1" applyBorder="1"/>
    <xf numFmtId="173" fontId="14" fillId="0" borderId="20" xfId="2" applyNumberFormat="1" applyFont="1" applyFill="1" applyBorder="1"/>
    <xf numFmtId="173" fontId="17" fillId="0" borderId="21" xfId="2" applyNumberFormat="1" applyFont="1" applyFill="1" applyBorder="1"/>
    <xf numFmtId="173" fontId="14" fillId="0" borderId="21" xfId="2" applyNumberFormat="1" applyFont="1" applyFill="1" applyBorder="1"/>
    <xf numFmtId="172" fontId="15" fillId="0" borderId="9" xfId="0" applyFont="1" applyFill="1" applyBorder="1"/>
    <xf numFmtId="173" fontId="15" fillId="0" borderId="27" xfId="2" applyNumberFormat="1" applyFont="1" applyFill="1" applyBorder="1"/>
    <xf numFmtId="173" fontId="14" fillId="0" borderId="18" xfId="2" applyNumberFormat="1" applyFont="1" applyFill="1" applyBorder="1"/>
    <xf numFmtId="172" fontId="15" fillId="0" borderId="29" xfId="0" applyFont="1" applyBorder="1"/>
    <xf numFmtId="172" fontId="15" fillId="0" borderId="22" xfId="0" applyFont="1" applyFill="1" applyBorder="1" applyAlignment="1">
      <alignment horizontal="center"/>
    </xf>
    <xf numFmtId="173" fontId="14" fillId="0" borderId="26" xfId="2" applyNumberFormat="1" applyFont="1" applyFill="1" applyBorder="1"/>
    <xf numFmtId="173" fontId="14" fillId="0" borderId="19" xfId="2" applyNumberFormat="1" applyFont="1" applyFill="1" applyBorder="1"/>
    <xf numFmtId="173" fontId="14" fillId="0" borderId="25" xfId="2" applyNumberFormat="1" applyFont="1" applyFill="1" applyBorder="1"/>
    <xf numFmtId="173" fontId="17" fillId="0" borderId="23" xfId="2" applyNumberFormat="1" applyFont="1" applyFill="1" applyBorder="1"/>
    <xf numFmtId="173" fontId="17" fillId="0" borderId="25" xfId="2" applyNumberFormat="1" applyFont="1" applyFill="1" applyBorder="1"/>
    <xf numFmtId="173" fontId="14" fillId="0" borderId="24" xfId="2" applyNumberFormat="1" applyFont="1" applyFill="1" applyBorder="1" applyAlignment="1">
      <alignment vertical="center"/>
    </xf>
    <xf numFmtId="173" fontId="17" fillId="0" borderId="18" xfId="2" applyNumberFormat="1" applyFont="1" applyFill="1" applyBorder="1"/>
    <xf numFmtId="173" fontId="14" fillId="0" borderId="0" xfId="0" applyNumberFormat="1" applyFont="1"/>
    <xf numFmtId="173" fontId="14" fillId="0" borderId="15" xfId="2" applyNumberFormat="1" applyFont="1" applyFill="1" applyBorder="1" applyAlignment="1">
      <alignment vertical="center"/>
    </xf>
    <xf numFmtId="172" fontId="14" fillId="0" borderId="22" xfId="0" quotePrefix="1" applyFont="1" applyFill="1" applyBorder="1" applyAlignment="1">
      <alignment horizontal="left" indent="1"/>
    </xf>
    <xf numFmtId="173" fontId="18" fillId="0" borderId="23" xfId="2" applyNumberFormat="1" applyFont="1" applyFill="1" applyBorder="1"/>
    <xf numFmtId="173" fontId="17" fillId="0" borderId="20" xfId="2" applyNumberFormat="1" applyFont="1" applyFill="1" applyBorder="1"/>
    <xf numFmtId="173" fontId="18" fillId="0" borderId="21" xfId="2" applyNumberFormat="1" applyFont="1" applyFill="1" applyBorder="1"/>
    <xf numFmtId="172" fontId="15" fillId="0" borderId="20" xfId="0" applyFont="1" applyBorder="1"/>
    <xf numFmtId="173" fontId="15" fillId="0" borderId="20" xfId="2" applyNumberFormat="1" applyFont="1" applyFill="1" applyBorder="1"/>
    <xf numFmtId="173" fontId="14" fillId="0" borderId="32" xfId="2" applyNumberFormat="1" applyFont="1" applyBorder="1" applyAlignment="1">
      <alignment vertical="center"/>
    </xf>
    <xf numFmtId="172" fontId="15" fillId="0" borderId="33" xfId="0" applyFont="1" applyBorder="1"/>
    <xf numFmtId="174" fontId="15" fillId="0" borderId="27" xfId="3" applyNumberFormat="1" applyFont="1" applyFill="1" applyBorder="1"/>
    <xf numFmtId="173" fontId="14" fillId="0" borderId="34" xfId="2" applyNumberFormat="1" applyFont="1" applyFill="1" applyBorder="1" applyAlignment="1">
      <alignment horizontal="center"/>
    </xf>
    <xf numFmtId="172" fontId="15" fillId="0" borderId="33" xfId="0" applyFont="1" applyFill="1" applyBorder="1"/>
    <xf numFmtId="39" fontId="14" fillId="0" borderId="0" xfId="0" applyNumberFormat="1" applyFont="1"/>
    <xf numFmtId="172" fontId="14" fillId="0" borderId="0" xfId="0" applyFont="1" applyBorder="1"/>
    <xf numFmtId="37" fontId="14" fillId="0" borderId="0" xfId="2" applyNumberFormat="1" applyFont="1" applyFill="1" applyBorder="1"/>
    <xf numFmtId="173" fontId="14" fillId="0" borderId="0" xfId="2" applyNumberFormat="1" applyFont="1" applyFill="1" applyBorder="1"/>
    <xf numFmtId="172" fontId="14" fillId="0" borderId="0" xfId="0" applyFont="1" applyFill="1" applyBorder="1"/>
    <xf numFmtId="43" fontId="14" fillId="0" borderId="0" xfId="2" applyFont="1" applyFill="1" applyBorder="1"/>
    <xf numFmtId="37" fontId="14" fillId="0" borderId="0" xfId="0" applyNumberFormat="1" applyFont="1" applyFill="1" applyBorder="1"/>
    <xf numFmtId="172" fontId="15" fillId="0" borderId="0" xfId="0" applyFont="1" applyBorder="1"/>
    <xf numFmtId="172" fontId="15" fillId="0" borderId="0" xfId="0" applyFont="1" applyFill="1" applyBorder="1"/>
    <xf numFmtId="172" fontId="14" fillId="0" borderId="0" xfId="0" applyFont="1" applyBorder="1" applyAlignment="1">
      <alignment horizontal="right"/>
    </xf>
    <xf numFmtId="9" fontId="14" fillId="0" borderId="0" xfId="0" applyNumberFormat="1" applyFont="1" applyBorder="1"/>
    <xf numFmtId="172" fontId="19" fillId="0" borderId="0" xfId="0" applyFont="1" applyBorder="1"/>
    <xf numFmtId="175" fontId="14" fillId="0" borderId="0" xfId="0" applyNumberFormat="1" applyFont="1" applyFill="1" applyBorder="1"/>
    <xf numFmtId="173" fontId="14" fillId="0" borderId="0" xfId="0" applyNumberFormat="1" applyFont="1" applyBorder="1"/>
    <xf numFmtId="37" fontId="14" fillId="0" borderId="0" xfId="0" applyNumberFormat="1" applyFont="1" applyBorder="1"/>
    <xf numFmtId="4" fontId="14" fillId="0" borderId="0" xfId="0" applyNumberFormat="1" applyFont="1" applyBorder="1"/>
    <xf numFmtId="172" fontId="19" fillId="0" borderId="0" xfId="0" applyFont="1" applyFill="1" applyBorder="1"/>
    <xf numFmtId="172" fontId="15" fillId="0" borderId="0" xfId="0" applyFont="1" applyBorder="1" applyAlignment="1">
      <alignment horizontal="right"/>
    </xf>
    <xf numFmtId="172" fontId="15" fillId="0" borderId="0" xfId="0" applyFont="1" applyFill="1" applyBorder="1" applyAlignment="1">
      <alignment horizontal="right"/>
    </xf>
    <xf numFmtId="174" fontId="14" fillId="0" borderId="0" xfId="0" applyNumberFormat="1" applyFont="1" applyFill="1" applyBorder="1"/>
    <xf numFmtId="172" fontId="14" fillId="0" borderId="0" xfId="0" applyFont="1" applyFill="1" applyBorder="1" applyAlignment="1">
      <alignment horizontal="right"/>
    </xf>
    <xf numFmtId="4" fontId="14" fillId="0" borderId="0" xfId="0" applyNumberFormat="1" applyFont="1"/>
    <xf numFmtId="173" fontId="18" fillId="0" borderId="22" xfId="2" applyNumberFormat="1" applyFont="1" applyFill="1" applyBorder="1"/>
    <xf numFmtId="173" fontId="16" fillId="0" borderId="22" xfId="2" applyNumberFormat="1" applyFont="1" applyFill="1" applyBorder="1"/>
    <xf numFmtId="173" fontId="18" fillId="0" borderId="26" xfId="2" applyNumberFormat="1" applyFont="1" applyFill="1" applyBorder="1"/>
    <xf numFmtId="173" fontId="18" fillId="0" borderId="19" xfId="2" applyNumberFormat="1" applyFont="1" applyFill="1" applyBorder="1"/>
    <xf numFmtId="173" fontId="18" fillId="0" borderId="25" xfId="2" applyNumberFormat="1" applyFont="1" applyFill="1" applyBorder="1"/>
    <xf numFmtId="173" fontId="18" fillId="0" borderId="18" xfId="2" applyNumberFormat="1" applyFont="1" applyFill="1" applyBorder="1"/>
    <xf numFmtId="172" fontId="22" fillId="0" borderId="0" xfId="0" applyFont="1" applyBorder="1"/>
    <xf numFmtId="172" fontId="16" fillId="0" borderId="0" xfId="0" applyFont="1" applyBorder="1" applyAlignment="1">
      <alignment horizontal="left" indent="1"/>
    </xf>
    <xf numFmtId="174" fontId="16" fillId="0" borderId="0" xfId="3" applyNumberFormat="1" applyFont="1" applyFill="1" applyBorder="1"/>
    <xf numFmtId="173" fontId="16" fillId="0" borderId="0" xfId="2" applyNumberFormat="1" applyFont="1" applyFill="1" applyBorder="1"/>
    <xf numFmtId="172" fontId="16" fillId="0" borderId="0" xfId="0" applyFont="1" applyFill="1" applyBorder="1"/>
    <xf numFmtId="172" fontId="16" fillId="0" borderId="0" xfId="0" applyFont="1" applyAlignment="1">
      <alignment horizontal="left" indent="2"/>
    </xf>
    <xf numFmtId="0" fontId="23" fillId="0" borderId="0" xfId="0" applyNumberFormat="1" applyFont="1" applyFill="1" applyBorder="1" applyAlignment="1">
      <alignment horizontal="centerContinuous"/>
    </xf>
    <xf numFmtId="0" fontId="14" fillId="0" borderId="0" xfId="0" applyNumberFormat="1" applyFont="1" applyFill="1" applyBorder="1" applyAlignment="1">
      <alignment horizontal="left"/>
    </xf>
    <xf numFmtId="0" fontId="14" fillId="0" borderId="0" xfId="0" applyNumberFormat="1" applyFont="1" applyFill="1" applyBorder="1"/>
    <xf numFmtId="0" fontId="14" fillId="0" borderId="0" xfId="0" applyNumberFormat="1" applyFont="1" applyFill="1" applyBorder="1" applyAlignment="1">
      <alignment horizontal="centerContinuous"/>
    </xf>
    <xf numFmtId="14" fontId="23" fillId="0" borderId="0" xfId="0" applyNumberFormat="1" applyFont="1" applyFill="1" applyBorder="1" applyAlignment="1">
      <alignment horizontal="centerContinuous"/>
    </xf>
    <xf numFmtId="14" fontId="14" fillId="0" borderId="0" xfId="0" applyNumberFormat="1" applyFont="1" applyFill="1" applyBorder="1" applyAlignment="1">
      <alignment horizontal="left"/>
    </xf>
    <xf numFmtId="0" fontId="15" fillId="0" borderId="0" xfId="0" applyNumberFormat="1" applyFont="1" applyFill="1" applyBorder="1" applyAlignment="1">
      <alignment horizontal="left"/>
    </xf>
    <xf numFmtId="0" fontId="15" fillId="0" borderId="12" xfId="0" applyNumberFormat="1" applyFont="1" applyFill="1" applyBorder="1"/>
    <xf numFmtId="0" fontId="15" fillId="0" borderId="13" xfId="0" applyNumberFormat="1" applyFont="1" applyFill="1" applyBorder="1"/>
    <xf numFmtId="0" fontId="15" fillId="0" borderId="14" xfId="0" applyNumberFormat="1" applyFont="1" applyFill="1" applyBorder="1" applyAlignment="1">
      <alignment horizontal="center"/>
    </xf>
    <xf numFmtId="0" fontId="15" fillId="0" borderId="15" xfId="0" applyNumberFormat="1" applyFont="1" applyFill="1" applyBorder="1"/>
    <xf numFmtId="0" fontId="15" fillId="0" borderId="11" xfId="0" applyNumberFormat="1" applyFont="1" applyFill="1" applyBorder="1"/>
    <xf numFmtId="0" fontId="15" fillId="0" borderId="16" xfId="0" applyNumberFormat="1" applyFont="1" applyFill="1" applyBorder="1" applyAlignment="1">
      <alignment horizontal="center"/>
    </xf>
    <xf numFmtId="0" fontId="14" fillId="0" borderId="15" xfId="0" applyNumberFormat="1" applyFont="1" applyFill="1" applyBorder="1" applyAlignment="1">
      <alignment horizontal="center"/>
    </xf>
    <xf numFmtId="0" fontId="14" fillId="0" borderId="11" xfId="0" applyNumberFormat="1" applyFont="1" applyFill="1" applyBorder="1"/>
    <xf numFmtId="173" fontId="14" fillId="0" borderId="16" xfId="2" applyNumberFormat="1" applyFont="1" applyFill="1" applyBorder="1"/>
    <xf numFmtId="0" fontId="14" fillId="0" borderId="24" xfId="0" applyNumberFormat="1" applyFont="1" applyFill="1" applyBorder="1" applyAlignment="1">
      <alignment horizontal="center"/>
    </xf>
    <xf numFmtId="0" fontId="14" fillId="0" borderId="28" xfId="0" applyNumberFormat="1" applyFont="1" applyFill="1" applyBorder="1"/>
    <xf numFmtId="173" fontId="14" fillId="0" borderId="35" xfId="2" applyNumberFormat="1" applyFont="1" applyFill="1" applyBorder="1"/>
    <xf numFmtId="173" fontId="17" fillId="0" borderId="16" xfId="2" applyNumberFormat="1" applyFont="1" applyFill="1" applyBorder="1"/>
    <xf numFmtId="0" fontId="14" fillId="0" borderId="17" xfId="0" applyNumberFormat="1" applyFont="1" applyFill="1" applyBorder="1" applyAlignment="1">
      <alignment horizontal="center"/>
    </xf>
    <xf numFmtId="0" fontId="14" fillId="0" borderId="8" xfId="0" applyNumberFormat="1" applyFont="1" applyFill="1" applyBorder="1"/>
    <xf numFmtId="173" fontId="14" fillId="0" borderId="36" xfId="2" applyNumberFormat="1" applyFont="1" applyFill="1" applyBorder="1"/>
    <xf numFmtId="0" fontId="14" fillId="0" borderId="37" xfId="0" applyNumberFormat="1" applyFont="1" applyFill="1" applyBorder="1" applyAlignment="1">
      <alignment horizontal="center"/>
    </xf>
    <xf numFmtId="0" fontId="14" fillId="0" borderId="38" xfId="0" applyNumberFormat="1" applyFont="1" applyFill="1" applyBorder="1"/>
    <xf numFmtId="173" fontId="15" fillId="0" borderId="39" xfId="2" applyNumberFormat="1" applyFont="1" applyFill="1" applyBorder="1"/>
    <xf numFmtId="0" fontId="15" fillId="0" borderId="38" xfId="0" applyNumberFormat="1" applyFont="1" applyFill="1" applyBorder="1"/>
    <xf numFmtId="173" fontId="17" fillId="0" borderId="36" xfId="2" applyNumberFormat="1" applyFont="1" applyFill="1" applyBorder="1"/>
    <xf numFmtId="174" fontId="15" fillId="0" borderId="40" xfId="3" applyNumberFormat="1" applyFont="1" applyFill="1" applyBorder="1"/>
    <xf numFmtId="0" fontId="14" fillId="0" borderId="0" xfId="0" applyNumberFormat="1" applyFont="1" applyFill="1" applyBorder="1" applyAlignment="1">
      <alignment horizontal="right"/>
    </xf>
    <xf numFmtId="0" fontId="19" fillId="0" borderId="0" xfId="0" applyNumberFormat="1" applyFont="1" applyFill="1" applyBorder="1" applyAlignment="1">
      <alignment horizontal="right"/>
    </xf>
    <xf numFmtId="0" fontId="13" fillId="0" borderId="0" xfId="0" applyNumberFormat="1" applyFont="1" applyAlignment="1">
      <alignment horizontal="centerContinuous"/>
    </xf>
    <xf numFmtId="0" fontId="14" fillId="0" borderId="0" xfId="0" applyNumberFormat="1" applyFont="1" applyAlignment="1">
      <alignment horizontal="centerContinuous"/>
    </xf>
    <xf numFmtId="0" fontId="14" fillId="0" borderId="0" xfId="0" applyNumberFormat="1" applyFont="1" applyAlignment="1">
      <alignment horizontal="left"/>
    </xf>
    <xf numFmtId="0" fontId="14" fillId="0" borderId="0" xfId="0" applyNumberFormat="1" applyFont="1" applyFill="1" applyAlignment="1">
      <alignment horizontal="left"/>
    </xf>
    <xf numFmtId="0" fontId="14" fillId="0" borderId="0" xfId="0" applyNumberFormat="1" applyFont="1" applyFill="1"/>
    <xf numFmtId="0" fontId="14" fillId="0" borderId="0" xfId="0" applyNumberFormat="1" applyFont="1"/>
    <xf numFmtId="0" fontId="15" fillId="0" borderId="12" xfId="0" applyNumberFormat="1" applyFont="1" applyBorder="1" applyAlignment="1">
      <alignment horizontal="center"/>
    </xf>
    <xf numFmtId="0" fontId="15" fillId="0" borderId="13" xfId="0" applyNumberFormat="1" applyFont="1" applyBorder="1" applyAlignment="1">
      <alignment horizontal="center"/>
    </xf>
    <xf numFmtId="0" fontId="15" fillId="0" borderId="13" xfId="0" applyNumberFormat="1" applyFont="1" applyFill="1" applyBorder="1" applyAlignment="1">
      <alignment horizontal="center"/>
    </xf>
    <xf numFmtId="0" fontId="15" fillId="0" borderId="17" xfId="0" applyNumberFormat="1" applyFont="1" applyBorder="1" applyAlignment="1">
      <alignment horizontal="center"/>
    </xf>
    <xf numFmtId="0" fontId="15" fillId="0" borderId="8" xfId="0" applyNumberFormat="1" applyFont="1" applyBorder="1" applyAlignment="1">
      <alignment horizontal="center"/>
    </xf>
    <xf numFmtId="0" fontId="15" fillId="0" borderId="8" xfId="0" applyNumberFormat="1" applyFont="1" applyFill="1" applyBorder="1" applyAlignment="1">
      <alignment horizontal="center"/>
    </xf>
    <xf numFmtId="0" fontId="15" fillId="0" borderId="36" xfId="0" applyNumberFormat="1" applyFont="1" applyFill="1" applyBorder="1" applyAlignment="1">
      <alignment horizontal="center"/>
    </xf>
    <xf numFmtId="0" fontId="14" fillId="0" borderId="0" xfId="0" applyNumberFormat="1" applyFont="1" applyFill="1" applyBorder="1" applyAlignment="1">
      <alignment horizontal="center"/>
    </xf>
    <xf numFmtId="0" fontId="15" fillId="0" borderId="15" xfId="0" applyNumberFormat="1" applyFont="1" applyBorder="1" applyAlignment="1">
      <alignment horizontal="center"/>
    </xf>
    <xf numFmtId="0" fontId="15" fillId="0" borderId="11" xfId="0" applyNumberFormat="1" applyFont="1" applyBorder="1" applyAlignment="1">
      <alignment horizontal="center"/>
    </xf>
    <xf numFmtId="0" fontId="15" fillId="0" borderId="11" xfId="0" applyNumberFormat="1" applyFont="1" applyFill="1" applyBorder="1" applyAlignment="1">
      <alignment horizontal="center"/>
    </xf>
    <xf numFmtId="0" fontId="14" fillId="0" borderId="24" xfId="0" applyNumberFormat="1" applyFont="1" applyBorder="1" applyAlignment="1">
      <alignment horizontal="center"/>
    </xf>
    <xf numFmtId="0" fontId="14" fillId="0" borderId="25" xfId="0" applyNumberFormat="1" applyFont="1" applyBorder="1"/>
    <xf numFmtId="174" fontId="17" fillId="0" borderId="25" xfId="3" applyNumberFormat="1" applyFont="1" applyFill="1" applyBorder="1"/>
    <xf numFmtId="174" fontId="18" fillId="0" borderId="25" xfId="3" applyNumberFormat="1" applyFont="1" applyFill="1" applyBorder="1"/>
    <xf numFmtId="174" fontId="15" fillId="0" borderId="26" xfId="3" applyNumberFormat="1" applyFont="1" applyFill="1" applyBorder="1"/>
    <xf numFmtId="0" fontId="16" fillId="0" borderId="0" xfId="0" applyNumberFormat="1" applyFont="1"/>
    <xf numFmtId="174" fontId="14" fillId="0" borderId="25" xfId="3" applyNumberFormat="1" applyFont="1" applyFill="1" applyBorder="1"/>
    <xf numFmtId="173" fontId="15" fillId="0" borderId="26" xfId="2" applyNumberFormat="1" applyFont="1" applyFill="1" applyBorder="1"/>
    <xf numFmtId="173" fontId="18" fillId="0" borderId="0" xfId="2" applyNumberFormat="1" applyFont="1" applyFill="1" applyBorder="1"/>
    <xf numFmtId="173" fontId="15" fillId="0" borderId="19" xfId="2" applyNumberFormat="1" applyFont="1" applyFill="1" applyBorder="1"/>
    <xf numFmtId="0" fontId="15" fillId="0" borderId="29" xfId="0" applyNumberFormat="1" applyFont="1" applyBorder="1"/>
    <xf numFmtId="174" fontId="15" fillId="0" borderId="37" xfId="3" applyNumberFormat="1" applyFont="1" applyFill="1" applyBorder="1"/>
    <xf numFmtId="174" fontId="14" fillId="0" borderId="0" xfId="3" applyNumberFormat="1" applyFont="1"/>
    <xf numFmtId="0" fontId="15" fillId="0" borderId="25" xfId="0" applyNumberFormat="1" applyFont="1" applyBorder="1"/>
    <xf numFmtId="174" fontId="15" fillId="0" borderId="22" xfId="3" applyNumberFormat="1" applyFont="1" applyFill="1" applyBorder="1"/>
    <xf numFmtId="174" fontId="15" fillId="0" borderId="23" xfId="3" applyNumberFormat="1" applyFont="1" applyFill="1" applyBorder="1"/>
    <xf numFmtId="174" fontId="15" fillId="0" borderId="41" xfId="3" applyNumberFormat="1" applyFont="1" applyFill="1" applyBorder="1"/>
    <xf numFmtId="37" fontId="15" fillId="0" borderId="22" xfId="0" applyNumberFormat="1" applyFont="1" applyFill="1" applyBorder="1"/>
    <xf numFmtId="37" fontId="15" fillId="0" borderId="23" xfId="0" applyNumberFormat="1" applyFont="1" applyFill="1" applyBorder="1"/>
    <xf numFmtId="0" fontId="14" fillId="0" borderId="25" xfId="0" applyNumberFormat="1" applyFont="1" applyFill="1" applyBorder="1"/>
    <xf numFmtId="0" fontId="14" fillId="0" borderId="42" xfId="0" applyNumberFormat="1" applyFont="1" applyBorder="1" applyAlignment="1">
      <alignment horizontal="center"/>
    </xf>
    <xf numFmtId="0" fontId="15" fillId="0" borderId="43" xfId="0" applyNumberFormat="1" applyFont="1" applyBorder="1"/>
    <xf numFmtId="37" fontId="14" fillId="0" borderId="0" xfId="0" applyNumberFormat="1" applyFont="1" applyFill="1"/>
    <xf numFmtId="43" fontId="14" fillId="0" borderId="0" xfId="0" applyNumberFormat="1" applyFont="1" applyFill="1"/>
    <xf numFmtId="14" fontId="14" fillId="0" borderId="0" xfId="0" applyNumberFormat="1" applyFont="1" applyFill="1" applyBorder="1" applyAlignment="1">
      <alignment horizontal="center"/>
    </xf>
    <xf numFmtId="0" fontId="15" fillId="0" borderId="12" xfId="0" applyNumberFormat="1" applyFont="1" applyFill="1" applyBorder="1" applyAlignment="1">
      <alignment horizontal="center"/>
    </xf>
    <xf numFmtId="0" fontId="15" fillId="0" borderId="0" xfId="0" applyNumberFormat="1" applyFont="1" applyFill="1" applyBorder="1"/>
    <xf numFmtId="0" fontId="15" fillId="0" borderId="15" xfId="0" applyNumberFormat="1" applyFont="1" applyFill="1" applyBorder="1" applyAlignment="1">
      <alignment horizontal="center"/>
    </xf>
    <xf numFmtId="0" fontId="15" fillId="0" borderId="0" xfId="0" applyNumberFormat="1" applyFont="1" applyFill="1" applyBorder="1" applyAlignment="1">
      <alignment horizontal="center"/>
    </xf>
    <xf numFmtId="0" fontId="15" fillId="0" borderId="22" xfId="0" applyNumberFormat="1" applyFont="1" applyFill="1" applyBorder="1" applyAlignment="1">
      <alignment horizontal="center"/>
    </xf>
    <xf numFmtId="0" fontId="15" fillId="0" borderId="23" xfId="0" applyNumberFormat="1" applyFont="1" applyFill="1" applyBorder="1" applyAlignment="1">
      <alignment horizontal="center"/>
    </xf>
    <xf numFmtId="37" fontId="14" fillId="0" borderId="18" xfId="0" applyNumberFormat="1" applyFont="1" applyFill="1" applyBorder="1"/>
    <xf numFmtId="37" fontId="14" fillId="0" borderId="8" xfId="0" applyNumberFormat="1" applyFont="1" applyFill="1" applyBorder="1"/>
    <xf numFmtId="37" fontId="14" fillId="0" borderId="36" xfId="0" applyNumberFormat="1" applyFont="1" applyFill="1" applyBorder="1"/>
    <xf numFmtId="0" fontId="14" fillId="0" borderId="10" xfId="0" applyNumberFormat="1" applyFont="1" applyFill="1" applyBorder="1"/>
    <xf numFmtId="174" fontId="14" fillId="0" borderId="11" xfId="3" applyNumberFormat="1" applyFont="1" applyFill="1" applyBorder="1"/>
    <xf numFmtId="174" fontId="14" fillId="0" borderId="16" xfId="3" applyNumberFormat="1" applyFont="1" applyFill="1" applyBorder="1"/>
    <xf numFmtId="173" fontId="17" fillId="0" borderId="11" xfId="2" applyNumberFormat="1" applyFont="1" applyFill="1" applyBorder="1"/>
    <xf numFmtId="173" fontId="17" fillId="0" borderId="8" xfId="2" applyNumberFormat="1" applyFont="1" applyFill="1" applyBorder="1"/>
    <xf numFmtId="0" fontId="14" fillId="0" borderId="10" xfId="0" applyNumberFormat="1" applyFont="1" applyFill="1" applyBorder="1" applyAlignment="1">
      <alignment horizontal="left" indent="1"/>
    </xf>
    <xf numFmtId="0" fontId="14" fillId="0" borderId="44" xfId="0" applyNumberFormat="1" applyFont="1" applyFill="1" applyBorder="1"/>
    <xf numFmtId="173" fontId="17" fillId="0" borderId="28" xfId="2" applyNumberFormat="1" applyFont="1" applyFill="1" applyBorder="1"/>
    <xf numFmtId="0" fontId="14" fillId="0" borderId="0" xfId="0" applyNumberFormat="1" applyFont="1" applyFill="1" applyBorder="1" applyAlignment="1">
      <alignment horizontal="left" indent="1"/>
    </xf>
    <xf numFmtId="0" fontId="14" fillId="0" borderId="45" xfId="0" applyNumberFormat="1" applyFont="1" applyFill="1" applyBorder="1"/>
    <xf numFmtId="174" fontId="15" fillId="0" borderId="38" xfId="3" applyNumberFormat="1" applyFont="1" applyFill="1" applyBorder="1"/>
    <xf numFmtId="174" fontId="15" fillId="0" borderId="39" xfId="3" applyNumberFormat="1" applyFont="1" applyFill="1" applyBorder="1"/>
    <xf numFmtId="37" fontId="17" fillId="0" borderId="8" xfId="0" applyNumberFormat="1" applyFont="1" applyFill="1" applyBorder="1"/>
    <xf numFmtId="0" fontId="14" fillId="0" borderId="11" xfId="0" applyNumberFormat="1" applyFont="1" applyFill="1" applyBorder="1" applyAlignment="1">
      <alignment horizontal="left" indent="1"/>
    </xf>
    <xf numFmtId="173" fontId="17" fillId="0" borderId="11" xfId="2" applyNumberFormat="1" applyFont="1" applyFill="1" applyBorder="1" applyAlignment="1">
      <alignment horizontal="right"/>
    </xf>
    <xf numFmtId="173" fontId="14" fillId="0" borderId="11" xfId="2" applyNumberFormat="1" applyFont="1" applyFill="1" applyBorder="1" applyAlignment="1">
      <alignment horizontal="right"/>
    </xf>
    <xf numFmtId="173" fontId="14" fillId="0" borderId="11" xfId="2" applyNumberFormat="1" applyFont="1" applyFill="1" applyBorder="1"/>
    <xf numFmtId="173" fontId="17" fillId="0" borderId="8" xfId="2" applyNumberFormat="1" applyFont="1" applyFill="1" applyBorder="1" applyAlignment="1">
      <alignment horizontal="right"/>
    </xf>
    <xf numFmtId="173" fontId="17" fillId="0" borderId="28" xfId="2" applyNumberFormat="1" applyFont="1" applyFill="1" applyBorder="1" applyAlignment="1">
      <alignment horizontal="right"/>
    </xf>
    <xf numFmtId="173" fontId="14" fillId="0" borderId="28" xfId="2" applyNumberFormat="1" applyFont="1" applyFill="1" applyBorder="1" applyAlignment="1">
      <alignment horizontal="right"/>
    </xf>
    <xf numFmtId="173" fontId="14" fillId="0" borderId="0" xfId="0" applyNumberFormat="1" applyFont="1" applyFill="1" applyBorder="1"/>
    <xf numFmtId="37" fontId="17" fillId="0" borderId="8" xfId="0" applyNumberFormat="1" applyFont="1" applyFill="1" applyBorder="1" applyAlignment="1">
      <alignment horizontal="right"/>
    </xf>
    <xf numFmtId="0" fontId="14" fillId="0" borderId="37" xfId="0" applyNumberFormat="1" applyFont="1" applyFill="1" applyBorder="1"/>
    <xf numFmtId="0" fontId="14" fillId="0" borderId="45" xfId="0" applyNumberFormat="1" applyFont="1" applyFill="1" applyBorder="1" applyAlignment="1">
      <alignment horizontal="left" indent="1"/>
    </xf>
    <xf numFmtId="0" fontId="15" fillId="0" borderId="0" xfId="0" applyNumberFormat="1" applyFont="1" applyFill="1" applyBorder="1" applyAlignment="1">
      <alignment horizontal="centerContinuous"/>
    </xf>
    <xf numFmtId="172" fontId="14" fillId="0" borderId="0" xfId="0" applyFont="1" applyAlignment="1"/>
    <xf numFmtId="14" fontId="23" fillId="0" borderId="0" xfId="0" applyNumberFormat="1" applyFont="1" applyAlignment="1">
      <alignment horizontal="centerContinuous"/>
    </xf>
    <xf numFmtId="172" fontId="15" fillId="0" borderId="0" xfId="0" applyFont="1" applyAlignment="1">
      <alignment horizontal="center"/>
    </xf>
    <xf numFmtId="172" fontId="15" fillId="0" borderId="1" xfId="0" applyFont="1" applyBorder="1" applyAlignment="1">
      <alignment horizontal="center"/>
    </xf>
    <xf numFmtId="172" fontId="15" fillId="0" borderId="0" xfId="0" applyFont="1" applyAlignment="1"/>
    <xf numFmtId="172" fontId="14" fillId="0" borderId="0" xfId="0" applyFont="1" applyAlignment="1">
      <alignment horizontal="left" indent="1"/>
    </xf>
    <xf numFmtId="174" fontId="14" fillId="0" borderId="0" xfId="3" applyNumberFormat="1" applyFont="1" applyAlignment="1"/>
    <xf numFmtId="10" fontId="14" fillId="0" borderId="0" xfId="0" applyNumberFormat="1" applyFont="1" applyAlignment="1"/>
    <xf numFmtId="10" fontId="14" fillId="0" borderId="0" xfId="1" applyNumberFormat="1" applyFont="1" applyAlignment="1"/>
    <xf numFmtId="174" fontId="17" fillId="0" borderId="0" xfId="3" applyNumberFormat="1" applyFont="1" applyAlignment="1"/>
    <xf numFmtId="172" fontId="14" fillId="0" borderId="0" xfId="0" applyFont="1" applyAlignment="1">
      <alignment horizontal="left" indent="2"/>
    </xf>
    <xf numFmtId="174" fontId="14" fillId="0" borderId="46" xfId="3" applyNumberFormat="1" applyFont="1" applyBorder="1" applyAlignment="1"/>
    <xf numFmtId="10" fontId="14" fillId="0" borderId="46" xfId="1" applyNumberFormat="1" applyFont="1" applyBorder="1" applyAlignment="1"/>
    <xf numFmtId="172" fontId="14" fillId="0" borderId="46" xfId="0" applyFont="1" applyBorder="1" applyAlignment="1"/>
    <xf numFmtId="0" fontId="15" fillId="0" borderId="0" xfId="4" applyFont="1"/>
    <xf numFmtId="0" fontId="15" fillId="0" borderId="10" xfId="4" applyFont="1" applyBorder="1" applyAlignment="1">
      <alignment horizontal="center" wrapText="1"/>
    </xf>
    <xf numFmtId="0" fontId="14" fillId="0" borderId="0" xfId="4" applyFont="1"/>
    <xf numFmtId="43" fontId="14" fillId="0" borderId="0" xfId="4" applyNumberFormat="1" applyFont="1"/>
    <xf numFmtId="0" fontId="14" fillId="0" borderId="0" xfId="4" applyFont="1" applyAlignment="1">
      <alignment horizontal="left" indent="1"/>
    </xf>
    <xf numFmtId="174" fontId="14" fillId="0" borderId="46" xfId="3" applyNumberFormat="1" applyFont="1" applyBorder="1"/>
    <xf numFmtId="0" fontId="14" fillId="0" borderId="0" xfId="5" applyFont="1" applyFill="1"/>
    <xf numFmtId="173" fontId="14" fillId="0" borderId="0" xfId="2" applyNumberFormat="1" applyFont="1" applyFill="1"/>
    <xf numFmtId="172" fontId="14" fillId="0" borderId="0" xfId="0" applyFont="1" applyFill="1" applyAlignment="1">
      <alignment horizontal="left"/>
    </xf>
    <xf numFmtId="14" fontId="23" fillId="0" borderId="0" xfId="0" applyNumberFormat="1" applyFont="1" applyFill="1" applyAlignment="1">
      <alignment horizontal="left"/>
    </xf>
    <xf numFmtId="173" fontId="15" fillId="0" borderId="47" xfId="2" applyNumberFormat="1" applyFont="1" applyFill="1" applyBorder="1" applyAlignment="1">
      <alignment horizontal="centerContinuous"/>
    </xf>
    <xf numFmtId="173" fontId="15" fillId="0" borderId="10" xfId="2" applyNumberFormat="1" applyFont="1" applyFill="1" applyBorder="1" applyAlignment="1">
      <alignment horizontal="centerContinuous"/>
    </xf>
    <xf numFmtId="173" fontId="14" fillId="0" borderId="0" xfId="2" applyNumberFormat="1" applyFont="1" applyFill="1" applyBorder="1" applyAlignment="1">
      <alignment horizontal="center"/>
    </xf>
    <xf numFmtId="0" fontId="14" fillId="0" borderId="0" xfId="5" applyFont="1" applyFill="1" applyBorder="1" applyAlignment="1">
      <alignment horizontal="center"/>
    </xf>
    <xf numFmtId="0" fontId="15" fillId="0" borderId="10" xfId="5" applyFont="1" applyFill="1" applyBorder="1" applyAlignment="1">
      <alignment horizontal="centerContinuous"/>
    </xf>
    <xf numFmtId="0" fontId="15" fillId="0" borderId="0" xfId="6" applyNumberFormat="1" applyFont="1" applyFill="1" applyAlignment="1">
      <alignment horizontal="center" wrapText="1"/>
    </xf>
    <xf numFmtId="173" fontId="15" fillId="0" borderId="0" xfId="2" applyNumberFormat="1" applyFont="1" applyFill="1" applyAlignment="1">
      <alignment horizontal="center" wrapText="1"/>
    </xf>
    <xf numFmtId="0" fontId="15" fillId="0" borderId="0" xfId="6" applyNumberFormat="1" applyFont="1" applyFill="1"/>
    <xf numFmtId="0" fontId="15" fillId="0" borderId="0" xfId="5" applyFont="1" applyFill="1"/>
    <xf numFmtId="173" fontId="15" fillId="0" borderId="44" xfId="2" applyNumberFormat="1" applyFont="1" applyFill="1" applyBorder="1" applyAlignment="1">
      <alignment horizontal="center"/>
    </xf>
    <xf numFmtId="173" fontId="15" fillId="0" borderId="0" xfId="2" applyNumberFormat="1" applyFont="1" applyFill="1" applyBorder="1"/>
    <xf numFmtId="173" fontId="15" fillId="0" borderId="0" xfId="2" applyNumberFormat="1" applyFont="1" applyFill="1"/>
    <xf numFmtId="0" fontId="15" fillId="0" borderId="44" xfId="5" applyFont="1" applyFill="1" applyBorder="1" applyAlignment="1">
      <alignment horizontal="center"/>
    </xf>
    <xf numFmtId="14" fontId="14" fillId="0" borderId="0" xfId="5" applyNumberFormat="1" applyFont="1" applyFill="1"/>
    <xf numFmtId="10" fontId="14" fillId="0" borderId="0" xfId="7" applyNumberFormat="1" applyFont="1" applyFill="1"/>
    <xf numFmtId="10" fontId="17" fillId="0" borderId="0" xfId="7" applyNumberFormat="1" applyFont="1" applyFill="1"/>
    <xf numFmtId="0" fontId="14" fillId="0" borderId="0" xfId="5" applyFont="1"/>
    <xf numFmtId="14" fontId="14" fillId="0" borderId="0" xfId="5" applyNumberFormat="1" applyFont="1"/>
    <xf numFmtId="173" fontId="14" fillId="0" borderId="0" xfId="2" applyNumberFormat="1" applyFont="1"/>
    <xf numFmtId="173" fontId="17" fillId="0" borderId="0" xfId="2" applyNumberFormat="1" applyFont="1" applyFill="1"/>
    <xf numFmtId="0" fontId="24" fillId="0" borderId="0" xfId="0" applyNumberFormat="1" applyFont="1" applyFill="1" applyBorder="1" applyAlignment="1" applyProtection="1">
      <alignment horizontal="left"/>
    </xf>
    <xf numFmtId="0" fontId="14" fillId="0" borderId="0" xfId="4" applyFont="1" applyFill="1"/>
    <xf numFmtId="14" fontId="14" fillId="0" borderId="0" xfId="4" applyNumberFormat="1" applyFont="1" applyFill="1"/>
    <xf numFmtId="173" fontId="15" fillId="0" borderId="46" xfId="2" applyNumberFormat="1" applyFont="1" applyFill="1" applyBorder="1"/>
    <xf numFmtId="173" fontId="23" fillId="0" borderId="0" xfId="2" applyNumberFormat="1" applyFont="1" applyFill="1"/>
    <xf numFmtId="172" fontId="25" fillId="0" borderId="0" xfId="0" applyFont="1" applyAlignment="1"/>
    <xf numFmtId="172" fontId="25" fillId="0" borderId="0" xfId="0" applyFont="1" applyAlignment="1">
      <alignment horizontal="left"/>
    </xf>
    <xf numFmtId="172" fontId="25" fillId="0" borderId="0" xfId="0" applyNumberFormat="1" applyFont="1" applyAlignment="1"/>
    <xf numFmtId="173" fontId="14" fillId="0" borderId="0" xfId="5" applyNumberFormat="1" applyFont="1" applyFill="1"/>
    <xf numFmtId="0" fontId="26" fillId="0" borderId="0" xfId="8" applyFont="1" applyFill="1" applyAlignment="1">
      <alignment horizontal="centerContinuous"/>
    </xf>
    <xf numFmtId="173" fontId="26" fillId="0" borderId="0" xfId="9" applyNumberFormat="1" applyFont="1" applyFill="1" applyAlignment="1">
      <alignment horizontal="centerContinuous"/>
    </xf>
    <xf numFmtId="173" fontId="26" fillId="0" borderId="0" xfId="9" applyNumberFormat="1" applyFont="1" applyFill="1" applyBorder="1" applyAlignment="1">
      <alignment horizontal="centerContinuous"/>
    </xf>
    <xf numFmtId="0" fontId="26" fillId="0" borderId="0" xfId="8" applyFont="1" applyFill="1" applyBorder="1" applyAlignment="1">
      <alignment horizontal="centerContinuous"/>
    </xf>
    <xf numFmtId="0" fontId="26" fillId="0" borderId="0" xfId="8" applyFont="1" applyFill="1"/>
    <xf numFmtId="172" fontId="14" fillId="0" borderId="0" xfId="0" applyFont="1" applyFill="1" applyAlignment="1">
      <alignment horizontal="centerContinuous"/>
    </xf>
    <xf numFmtId="14" fontId="23" fillId="0" borderId="0" xfId="0" applyNumberFormat="1" applyFont="1" applyFill="1" applyAlignment="1">
      <alignment horizontal="centerContinuous"/>
    </xf>
    <xf numFmtId="173" fontId="26" fillId="0" borderId="0" xfId="9" applyNumberFormat="1" applyFont="1" applyFill="1"/>
    <xf numFmtId="173" fontId="26" fillId="0" borderId="0" xfId="9" applyNumberFormat="1" applyFont="1" applyFill="1" applyBorder="1"/>
    <xf numFmtId="0" fontId="28" fillId="0" borderId="10" xfId="8" applyFont="1" applyFill="1" applyBorder="1" applyAlignment="1">
      <alignment horizontal="centerContinuous"/>
    </xf>
    <xf numFmtId="0" fontId="28" fillId="0" borderId="0" xfId="8" applyFont="1" applyFill="1" applyBorder="1" applyAlignment="1">
      <alignment horizontal="centerContinuous"/>
    </xf>
    <xf numFmtId="0" fontId="28" fillId="0" borderId="0" xfId="8" applyFont="1" applyFill="1" applyAlignment="1">
      <alignment horizontal="center"/>
    </xf>
    <xf numFmtId="0" fontId="28" fillId="0" borderId="0" xfId="8" applyFont="1" applyFill="1" applyBorder="1" applyAlignment="1">
      <alignment horizontal="center"/>
    </xf>
    <xf numFmtId="0" fontId="28" fillId="0" borderId="44" xfId="8" applyFont="1" applyFill="1" applyBorder="1" applyAlignment="1">
      <alignment horizontal="centerContinuous"/>
    </xf>
    <xf numFmtId="173" fontId="28" fillId="0" borderId="0" xfId="9" applyNumberFormat="1" applyFont="1" applyFill="1" applyAlignment="1">
      <alignment horizontal="center"/>
    </xf>
    <xf numFmtId="173" fontId="28" fillId="0" borderId="0" xfId="9" applyNumberFormat="1" applyFont="1" applyFill="1" applyBorder="1" applyAlignment="1">
      <alignment horizontal="center"/>
    </xf>
    <xf numFmtId="0" fontId="28" fillId="0" borderId="1" xfId="8" applyFont="1" applyFill="1" applyBorder="1" applyAlignment="1">
      <alignment horizontal="center"/>
    </xf>
    <xf numFmtId="173" fontId="28" fillId="0" borderId="1" xfId="9" applyNumberFormat="1" applyFont="1" applyFill="1" applyBorder="1" applyAlignment="1">
      <alignment horizontal="center"/>
    </xf>
    <xf numFmtId="173" fontId="17" fillId="0" borderId="0" xfId="9" applyNumberFormat="1" applyFont="1" applyFill="1"/>
    <xf numFmtId="173" fontId="26" fillId="0" borderId="0" xfId="8" applyNumberFormat="1" applyFont="1" applyFill="1"/>
    <xf numFmtId="0" fontId="26" fillId="0" borderId="0" xfId="8" applyFont="1" applyFill="1" applyBorder="1"/>
    <xf numFmtId="173" fontId="26" fillId="0" borderId="0" xfId="8" applyNumberFormat="1" applyFont="1" applyFill="1" applyBorder="1"/>
    <xf numFmtId="173" fontId="26" fillId="0" borderId="0" xfId="10" applyNumberFormat="1" applyFont="1" applyFill="1"/>
    <xf numFmtId="173" fontId="16" fillId="0" borderId="0" xfId="8" applyNumberFormat="1" applyFont="1" applyFill="1"/>
    <xf numFmtId="173" fontId="26" fillId="0" borderId="5" xfId="9" applyNumberFormat="1" applyFont="1" applyFill="1" applyBorder="1"/>
    <xf numFmtId="173" fontId="18" fillId="0" borderId="0" xfId="9" applyNumberFormat="1" applyFont="1" applyFill="1"/>
    <xf numFmtId="173" fontId="14" fillId="0" borderId="0" xfId="9" applyNumberFormat="1" applyFont="1" applyFill="1"/>
    <xf numFmtId="0" fontId="28" fillId="0" borderId="0" xfId="8" applyFont="1" applyFill="1" applyBorder="1"/>
    <xf numFmtId="173" fontId="26" fillId="0" borderId="0" xfId="2" applyNumberFormat="1" applyFont="1" applyFill="1" applyBorder="1"/>
    <xf numFmtId="43" fontId="28" fillId="0" borderId="0" xfId="2" applyFont="1" applyFill="1" applyBorder="1"/>
    <xf numFmtId="43" fontId="26" fillId="0" borderId="0" xfId="8" applyNumberFormat="1" applyFont="1" applyFill="1"/>
    <xf numFmtId="0" fontId="29" fillId="0" borderId="0" xfId="11" applyFont="1" applyAlignment="1">
      <alignment horizontal="centerContinuous"/>
    </xf>
    <xf numFmtId="0" fontId="29" fillId="0" borderId="0" xfId="11" applyFont="1"/>
    <xf numFmtId="0" fontId="30" fillId="0" borderId="10" xfId="11" applyFont="1" applyBorder="1" applyAlignment="1">
      <alignment horizontal="centerContinuous"/>
    </xf>
    <xf numFmtId="0" fontId="30" fillId="0" borderId="0" xfId="11" applyFont="1" applyAlignment="1">
      <alignment horizontal="center"/>
    </xf>
    <xf numFmtId="0" fontId="30" fillId="0" borderId="1" xfId="11" applyFont="1" applyBorder="1" applyAlignment="1">
      <alignment horizontal="center"/>
    </xf>
    <xf numFmtId="0" fontId="29" fillId="0" borderId="0" xfId="11" applyFont="1" applyAlignment="1">
      <alignment horizontal="center"/>
    </xf>
    <xf numFmtId="174" fontId="17" fillId="0" borderId="0" xfId="12" applyNumberFormat="1" applyFont="1"/>
    <xf numFmtId="10" fontId="29" fillId="0" borderId="0" xfId="11" applyNumberFormat="1" applyFont="1"/>
    <xf numFmtId="174" fontId="29" fillId="0" borderId="0" xfId="3" applyNumberFormat="1" applyFont="1"/>
    <xf numFmtId="174" fontId="17" fillId="0" borderId="0" xfId="12" applyNumberFormat="1" applyFont="1" applyBorder="1"/>
    <xf numFmtId="0" fontId="29" fillId="0" borderId="0" xfId="11" applyFont="1" applyAlignment="1">
      <alignment horizontal="left" indent="1"/>
    </xf>
    <xf numFmtId="174" fontId="14" fillId="0" borderId="5" xfId="12" applyNumberFormat="1" applyFont="1" applyBorder="1"/>
    <xf numFmtId="174" fontId="14" fillId="0" borderId="0" xfId="12" applyNumberFormat="1" applyFont="1"/>
    <xf numFmtId="173" fontId="29" fillId="0" borderId="0" xfId="2" applyNumberFormat="1" applyFont="1"/>
    <xf numFmtId="0" fontId="30" fillId="0" borderId="0" xfId="11" applyFont="1"/>
    <xf numFmtId="174" fontId="15" fillId="0" borderId="0" xfId="12" applyNumberFormat="1" applyFont="1"/>
    <xf numFmtId="174" fontId="30" fillId="0" borderId="46" xfId="11" applyNumberFormat="1" applyFont="1" applyBorder="1"/>
    <xf numFmtId="0" fontId="33" fillId="0" borderId="0" xfId="11" applyFont="1"/>
    <xf numFmtId="0" fontId="29" fillId="0" borderId="0" xfId="11" applyFont="1" applyBorder="1" applyAlignment="1">
      <alignment horizontal="centerContinuous"/>
    </xf>
    <xf numFmtId="0" fontId="33" fillId="0" borderId="0" xfId="11" applyFont="1" applyAlignment="1">
      <alignment horizontal="center"/>
    </xf>
    <xf numFmtId="0" fontId="29" fillId="0" borderId="0" xfId="11" applyFont="1" applyBorder="1"/>
    <xf numFmtId="0" fontId="30" fillId="0" borderId="0" xfId="11" applyFont="1" applyBorder="1" applyAlignment="1">
      <alignment horizontal="centerContinuous"/>
    </xf>
    <xf numFmtId="0" fontId="30" fillId="0" borderId="0" xfId="11" applyFont="1" applyAlignment="1">
      <alignment horizontal="centerContinuous"/>
    </xf>
    <xf numFmtId="9" fontId="30" fillId="0" borderId="1" xfId="11" applyNumberFormat="1" applyFont="1" applyBorder="1" applyAlignment="1">
      <alignment horizontal="center"/>
    </xf>
    <xf numFmtId="0" fontId="30" fillId="0" borderId="0" xfId="11" applyFont="1" applyBorder="1" applyAlignment="1">
      <alignment horizontal="center"/>
    </xf>
    <xf numFmtId="0" fontId="33" fillId="0" borderId="0" xfId="11" applyFont="1" applyBorder="1" applyAlignment="1">
      <alignment horizontal="center"/>
    </xf>
    <xf numFmtId="0" fontId="34" fillId="0" borderId="0" xfId="11" applyFont="1" applyAlignment="1">
      <alignment horizontal="left"/>
    </xf>
    <xf numFmtId="0" fontId="22" fillId="0" borderId="0" xfId="11" applyFont="1" applyBorder="1" applyAlignment="1">
      <alignment horizontal="centerContinuous"/>
    </xf>
    <xf numFmtId="0" fontId="22" fillId="0" borderId="0" xfId="11" applyFont="1" applyAlignment="1">
      <alignment horizontal="centerContinuous"/>
    </xf>
    <xf numFmtId="0" fontId="30" fillId="0" borderId="0" xfId="11" applyFont="1" applyBorder="1"/>
    <xf numFmtId="0" fontId="29" fillId="0" borderId="48" xfId="11" applyFont="1" applyFill="1" applyBorder="1"/>
    <xf numFmtId="10" fontId="29" fillId="0" borderId="49" xfId="11" applyNumberFormat="1" applyFont="1" applyFill="1" applyBorder="1"/>
    <xf numFmtId="176" fontId="14" fillId="0" borderId="14" xfId="13" applyNumberFormat="1" applyFont="1" applyFill="1" applyBorder="1"/>
    <xf numFmtId="174" fontId="17" fillId="0" borderId="0" xfId="12" applyNumberFormat="1" applyFont="1" applyFill="1"/>
    <xf numFmtId="174" fontId="29" fillId="0" borderId="0" xfId="11" applyNumberFormat="1" applyFont="1"/>
    <xf numFmtId="174" fontId="29" fillId="0" borderId="0" xfId="11" applyNumberFormat="1" applyFont="1" applyBorder="1"/>
    <xf numFmtId="174" fontId="14" fillId="0" borderId="0" xfId="12" applyNumberFormat="1" applyFont="1" applyBorder="1"/>
    <xf numFmtId="0" fontId="14" fillId="0" borderId="50" xfId="11" applyFont="1" applyFill="1" applyBorder="1"/>
    <xf numFmtId="10" fontId="29" fillId="0" borderId="0" xfId="11" applyNumberFormat="1" applyFont="1" applyFill="1" applyBorder="1"/>
    <xf numFmtId="176" fontId="14" fillId="0" borderId="36" xfId="13" applyNumberFormat="1" applyFont="1" applyFill="1" applyBorder="1"/>
    <xf numFmtId="0" fontId="14" fillId="0" borderId="51" xfId="11" applyFont="1" applyFill="1" applyBorder="1"/>
    <xf numFmtId="10" fontId="29" fillId="0" borderId="1" xfId="11" applyNumberFormat="1" applyFont="1" applyFill="1" applyBorder="1"/>
    <xf numFmtId="176" fontId="14" fillId="0" borderId="52" xfId="13" applyNumberFormat="1" applyFont="1" applyFill="1" applyBorder="1"/>
    <xf numFmtId="176" fontId="14" fillId="0" borderId="0" xfId="13" applyNumberFormat="1" applyFont="1" applyFill="1" applyBorder="1"/>
    <xf numFmtId="0" fontId="29" fillId="0" borderId="0" xfId="11" applyFont="1" applyFill="1"/>
    <xf numFmtId="0" fontId="29" fillId="0" borderId="0" xfId="11" applyFont="1" applyFill="1" applyBorder="1"/>
    <xf numFmtId="174" fontId="14" fillId="0" borderId="0" xfId="12" applyNumberFormat="1" applyFont="1" applyFill="1"/>
    <xf numFmtId="174" fontId="14" fillId="0" borderId="0" xfId="12" applyNumberFormat="1" applyFont="1" applyFill="1" applyBorder="1"/>
    <xf numFmtId="174" fontId="29" fillId="0" borderId="0" xfId="11" applyNumberFormat="1" applyFont="1" applyFill="1"/>
    <xf numFmtId="174" fontId="29" fillId="0" borderId="0" xfId="11" applyNumberFormat="1" applyFont="1" applyFill="1" applyBorder="1"/>
    <xf numFmtId="0" fontId="30" fillId="0" borderId="0" xfId="11" applyFont="1" applyAlignment="1">
      <alignment horizontal="left" indent="1"/>
    </xf>
    <xf numFmtId="174" fontId="15" fillId="0" borderId="5" xfId="12" applyNumberFormat="1" applyFont="1" applyBorder="1"/>
    <xf numFmtId="174" fontId="15" fillId="0" borderId="0" xfId="12" applyNumberFormat="1" applyFont="1" applyBorder="1"/>
    <xf numFmtId="0" fontId="34" fillId="0" borderId="0" xfId="11" applyFont="1"/>
    <xf numFmtId="172" fontId="29" fillId="0" borderId="0" xfId="11" applyNumberFormat="1" applyFont="1"/>
    <xf numFmtId="172" fontId="0" fillId="0" borderId="0" xfId="0"/>
    <xf numFmtId="172" fontId="30" fillId="0" borderId="0" xfId="11" applyNumberFormat="1" applyFont="1"/>
    <xf numFmtId="174" fontId="30" fillId="0" borderId="0" xfId="11" applyNumberFormat="1" applyFont="1"/>
    <xf numFmtId="172" fontId="14" fillId="0" borderId="1" xfId="0" applyFont="1" applyBorder="1" applyAlignment="1"/>
    <xf numFmtId="177" fontId="15" fillId="0" borderId="1" xfId="0" applyNumberFormat="1" applyFont="1" applyBorder="1" applyAlignment="1">
      <alignment horizontal="center"/>
    </xf>
    <xf numFmtId="174" fontId="17" fillId="0" borderId="10" xfId="3" applyNumberFormat="1" applyFont="1" applyBorder="1" applyAlignment="1"/>
    <xf numFmtId="178" fontId="17" fillId="0" borderId="0" xfId="1" applyNumberFormat="1" applyFont="1" applyAlignment="1"/>
    <xf numFmtId="172" fontId="38" fillId="0" borderId="0" xfId="0" applyFont="1" applyAlignment="1"/>
    <xf numFmtId="3" fontId="2" fillId="2" borderId="0" xfId="0" applyNumberFormat="1" applyFont="1" applyFill="1" applyBorder="1" applyAlignment="1"/>
    <xf numFmtId="3" fontId="2" fillId="2" borderId="1" xfId="0" applyNumberFormat="1" applyFont="1" applyFill="1" applyBorder="1" applyAlignment="1"/>
    <xf numFmtId="3" fontId="2" fillId="0" borderId="0" xfId="0" applyNumberFormat="1" applyFont="1" applyAlignment="1"/>
    <xf numFmtId="3" fontId="2" fillId="2" borderId="0" xfId="0" applyNumberFormat="1" applyFont="1" applyFill="1" applyAlignment="1"/>
    <xf numFmtId="170" fontId="2" fillId="2" borderId="0" xfId="0" applyNumberFormat="1" applyFont="1" applyFill="1" applyBorder="1" applyAlignment="1" applyProtection="1">
      <protection locked="0"/>
    </xf>
    <xf numFmtId="3" fontId="2" fillId="4" borderId="0" xfId="0" applyNumberFormat="1" applyFont="1" applyFill="1" applyAlignment="1" applyProtection="1"/>
    <xf numFmtId="174" fontId="14" fillId="0" borderId="5" xfId="3" applyNumberFormat="1" applyFont="1" applyBorder="1" applyAlignment="1"/>
    <xf numFmtId="174" fontId="35" fillId="0" borderId="0" xfId="12" applyNumberFormat="1" applyFont="1" applyFill="1"/>
    <xf numFmtId="164" fontId="29" fillId="0" borderId="0" xfId="11" applyNumberFormat="1" applyFont="1" applyFill="1"/>
    <xf numFmtId="174" fontId="29" fillId="0" borderId="0" xfId="3" applyNumberFormat="1" applyFont="1" applyFill="1"/>
    <xf numFmtId="174" fontId="36" fillId="0" borderId="0" xfId="12" applyNumberFormat="1" applyFont="1" applyFill="1"/>
    <xf numFmtId="0" fontId="33" fillId="0" borderId="0" xfId="11" applyFont="1" applyFill="1"/>
    <xf numFmtId="9" fontId="14" fillId="0" borderId="0" xfId="1" applyFont="1" applyAlignment="1"/>
    <xf numFmtId="172" fontId="16" fillId="0" borderId="0" xfId="0" applyFont="1" applyFill="1" applyBorder="1" applyAlignment="1">
      <alignment horizontal="left"/>
    </xf>
    <xf numFmtId="172" fontId="22" fillId="0" borderId="0" xfId="0" applyFont="1" applyAlignment="1">
      <alignment horizontal="center"/>
    </xf>
    <xf numFmtId="172" fontId="22" fillId="0" borderId="10" xfId="0" applyFont="1" applyBorder="1" applyAlignment="1">
      <alignment horizontal="center"/>
    </xf>
    <xf numFmtId="173" fontId="16" fillId="0" borderId="0" xfId="2" applyNumberFormat="1" applyFont="1"/>
    <xf numFmtId="0" fontId="2" fillId="0" borderId="0" xfId="0" applyNumberFormat="1" applyFont="1" applyFill="1" applyBorder="1" applyAlignment="1" applyProtection="1">
      <alignment horizontal="center"/>
    </xf>
    <xf numFmtId="172" fontId="10" fillId="0" borderId="0" xfId="0" applyFont="1" applyFill="1" applyBorder="1" applyAlignment="1" applyProtection="1">
      <alignment wrapText="1"/>
    </xf>
    <xf numFmtId="174" fontId="17" fillId="0" borderId="0" xfId="3" applyNumberFormat="1" applyFont="1"/>
    <xf numFmtId="174" fontId="17" fillId="0" borderId="10" xfId="3" applyNumberFormat="1" applyFont="1" applyBorder="1"/>
    <xf numFmtId="0" fontId="17" fillId="0" borderId="0" xfId="5" applyFont="1" applyFill="1"/>
    <xf numFmtId="0" fontId="16" fillId="0" borderId="0" xfId="4" applyFont="1" applyFill="1"/>
    <xf numFmtId="0" fontId="33" fillId="0" borderId="0" xfId="11" applyFont="1" applyFill="1" applyAlignment="1">
      <alignment horizontal="center"/>
    </xf>
    <xf numFmtId="0" fontId="14" fillId="0" borderId="0" xfId="11" applyFont="1" applyFill="1" applyBorder="1"/>
    <xf numFmtId="174" fontId="17" fillId="0" borderId="16" xfId="3" applyNumberFormat="1" applyFont="1" applyFill="1" applyBorder="1"/>
    <xf numFmtId="173" fontId="17" fillId="0" borderId="35" xfId="2" applyNumberFormat="1" applyFont="1" applyFill="1" applyBorder="1"/>
    <xf numFmtId="174" fontId="18" fillId="0" borderId="23" xfId="3" applyNumberFormat="1" applyFont="1" applyFill="1" applyBorder="1"/>
    <xf numFmtId="173" fontId="18" fillId="0" borderId="20" xfId="2" applyNumberFormat="1" applyFont="1" applyFill="1" applyBorder="1"/>
    <xf numFmtId="0" fontId="14" fillId="4" borderId="0" xfId="5" applyFont="1" applyFill="1"/>
    <xf numFmtId="173" fontId="14" fillId="4" borderId="0" xfId="2" applyNumberFormat="1" applyFont="1" applyFill="1"/>
    <xf numFmtId="9" fontId="29" fillId="0" borderId="0" xfId="1" applyFont="1" applyFill="1"/>
    <xf numFmtId="42" fontId="2" fillId="0" borderId="0" xfId="0" applyNumberFormat="1" applyFont="1" applyFill="1" applyProtection="1"/>
    <xf numFmtId="42" fontId="2" fillId="0" borderId="0" xfId="0" applyNumberFormat="1" applyFont="1" applyFill="1" applyBorder="1" applyAlignment="1" applyProtection="1">
      <alignment horizontal="right"/>
    </xf>
    <xf numFmtId="3" fontId="2" fillId="0" borderId="0" xfId="0" applyNumberFormat="1" applyFont="1" applyBorder="1" applyProtection="1"/>
    <xf numFmtId="0" fontId="5" fillId="0" borderId="0" xfId="0" applyNumberFormat="1" applyFont="1" applyFill="1" applyBorder="1" applyAlignment="1" applyProtection="1">
      <alignment horizontal="centerContinuous"/>
    </xf>
    <xf numFmtId="172" fontId="5" fillId="0" borderId="0" xfId="0" applyFont="1" applyFill="1" applyBorder="1" applyAlignment="1" applyProtection="1">
      <alignment horizontal="centerContinuous"/>
    </xf>
    <xf numFmtId="172" fontId="11" fillId="0" borderId="0" xfId="0" applyFont="1" applyFill="1" applyBorder="1" applyAlignment="1" applyProtection="1">
      <alignment horizontal="centerContinuous" wrapText="1"/>
    </xf>
    <xf numFmtId="172" fontId="11" fillId="0" borderId="0" xfId="0" applyFont="1" applyFill="1" applyBorder="1" applyAlignment="1" applyProtection="1">
      <alignment wrapText="1"/>
    </xf>
    <xf numFmtId="172" fontId="2" fillId="0" borderId="0" xfId="0" applyFont="1" applyFill="1" applyBorder="1" applyAlignment="1" applyProtection="1">
      <alignment horizontal="centerContinuous"/>
    </xf>
    <xf numFmtId="172" fontId="5" fillId="0" borderId="0" xfId="0" applyFont="1" applyFill="1" applyBorder="1" applyAlignment="1" applyProtection="1"/>
    <xf numFmtId="0" fontId="5" fillId="0" borderId="0" xfId="0" applyNumberFormat="1" applyFont="1" applyFill="1" applyBorder="1" applyAlignment="1" applyProtection="1">
      <alignment horizontal="center"/>
    </xf>
    <xf numFmtId="172" fontId="5" fillId="0" borderId="0" xfId="0" applyFont="1" applyFill="1" applyBorder="1" applyAlignment="1" applyProtection="1">
      <alignment horizontal="center"/>
    </xf>
    <xf numFmtId="42" fontId="2" fillId="0" borderId="0" xfId="0" applyNumberFormat="1" applyFont="1" applyFill="1" applyBorder="1"/>
    <xf numFmtId="173" fontId="2" fillId="0" borderId="0" xfId="2" applyNumberFormat="1" applyFont="1" applyFill="1" applyBorder="1" applyAlignment="1" applyProtection="1"/>
    <xf numFmtId="9" fontId="2" fillId="0" borderId="0" xfId="1" applyFont="1" applyFill="1" applyBorder="1" applyAlignment="1" applyProtection="1"/>
    <xf numFmtId="3" fontId="2" fillId="0" borderId="0" xfId="0" applyNumberFormat="1" applyFont="1" applyFill="1" applyBorder="1" applyAlignment="1"/>
    <xf numFmtId="42" fontId="2" fillId="0" borderId="0" xfId="0" applyNumberFormat="1" applyFont="1" applyFill="1" applyBorder="1" applyAlignment="1" applyProtection="1">
      <alignment horizontal="right"/>
      <protection locked="0"/>
    </xf>
    <xf numFmtId="3" fontId="2" fillId="0" borderId="0" xfId="0" applyNumberFormat="1" applyFont="1" applyFill="1" applyBorder="1" applyAlignment="1" applyProtection="1">
      <alignment horizontal="right"/>
    </xf>
    <xf numFmtId="0" fontId="2" fillId="0" borderId="0" xfId="0" applyNumberFormat="1" applyFont="1" applyFill="1" applyBorder="1" applyAlignment="1" applyProtection="1">
      <alignment horizontal="left"/>
    </xf>
    <xf numFmtId="3" fontId="2" fillId="0" borderId="0" xfId="0" applyNumberFormat="1" applyFont="1" applyFill="1" applyBorder="1" applyAlignment="1" applyProtection="1">
      <alignment horizontal="left"/>
    </xf>
    <xf numFmtId="3" fontId="2" fillId="0" borderId="0" xfId="0" applyNumberFormat="1" applyFont="1" applyFill="1" applyBorder="1" applyAlignment="1" applyProtection="1">
      <alignment horizontal="center"/>
    </xf>
    <xf numFmtId="0" fontId="3" fillId="0" borderId="0" xfId="0" applyNumberFormat="1" applyFont="1" applyFill="1" applyBorder="1" applyProtection="1"/>
    <xf numFmtId="172" fontId="3" fillId="0" borderId="0" xfId="0" applyFont="1" applyFill="1" applyBorder="1" applyAlignment="1" applyProtection="1"/>
    <xf numFmtId="3" fontId="3"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6" fillId="0" borderId="0" xfId="0" applyNumberFormat="1" applyFont="1" applyFill="1" applyBorder="1" applyProtection="1"/>
    <xf numFmtId="172" fontId="2" fillId="0" borderId="0" xfId="0" applyFont="1" applyFill="1" applyBorder="1" applyAlignment="1"/>
    <xf numFmtId="165" fontId="2" fillId="0" borderId="0" xfId="0" applyNumberFormat="1" applyFont="1" applyFill="1" applyBorder="1" applyAlignment="1">
      <alignment horizontal="right"/>
    </xf>
    <xf numFmtId="3" fontId="2" fillId="0" borderId="0" xfId="0" applyNumberFormat="1" applyFont="1" applyFill="1" applyBorder="1" applyAlignment="1">
      <alignment horizontal="center"/>
    </xf>
    <xf numFmtId="0" fontId="2" fillId="0" borderId="0" xfId="0" applyNumberFormat="1" applyFont="1" applyFill="1" applyBorder="1" applyAlignment="1" applyProtection="1">
      <alignment horizontal="center"/>
      <protection locked="0"/>
    </xf>
    <xf numFmtId="165" fontId="2" fillId="0" borderId="0" xfId="0" applyNumberFormat="1" applyFont="1" applyFill="1" applyBorder="1" applyAlignment="1"/>
    <xf numFmtId="169" fontId="2" fillId="0" borderId="0" xfId="0" applyNumberFormat="1" applyFont="1" applyFill="1" applyBorder="1" applyAlignment="1"/>
    <xf numFmtId="170" fontId="2" fillId="0" borderId="0" xfId="0" applyNumberFormat="1" applyFont="1" applyFill="1" applyBorder="1" applyAlignment="1" applyProtection="1">
      <protection locked="0"/>
    </xf>
    <xf numFmtId="3" fontId="4" fillId="0" borderId="0" xfId="0" applyNumberFormat="1" applyFont="1" applyFill="1" applyBorder="1" applyAlignment="1" applyProtection="1">
      <alignment horizontal="left"/>
    </xf>
    <xf numFmtId="0" fontId="3" fillId="0" borderId="0" xfId="0" applyNumberFormat="1" applyFont="1" applyFill="1" applyBorder="1" applyAlignment="1" applyProtection="1"/>
    <xf numFmtId="0" fontId="2" fillId="0" borderId="0" xfId="0" applyNumberFormat="1" applyFont="1" applyFill="1" applyBorder="1" applyAlignment="1" applyProtection="1">
      <alignment horizontal="right"/>
    </xf>
    <xf numFmtId="0" fontId="2" fillId="0" borderId="0" xfId="0" applyNumberFormat="1" applyFont="1" applyAlignment="1" applyProtection="1">
      <alignment vertical="top" wrapText="1"/>
    </xf>
    <xf numFmtId="3" fontId="2" fillId="0" borderId="0" xfId="0" applyNumberFormat="1" applyFont="1" applyAlignment="1" applyProtection="1">
      <alignment horizontal="right"/>
    </xf>
    <xf numFmtId="0" fontId="2" fillId="0" borderId="0" xfId="0" applyNumberFormat="1" applyFont="1" applyFill="1" applyAlignment="1" applyProtection="1">
      <alignment vertical="top" wrapText="1"/>
    </xf>
    <xf numFmtId="172" fontId="15" fillId="0" borderId="0" xfId="0" applyFont="1" applyBorder="1" applyAlignment="1">
      <alignment horizontal="center"/>
    </xf>
    <xf numFmtId="172" fontId="14" fillId="0" borderId="0" xfId="0" applyFont="1" applyBorder="1" applyAlignment="1">
      <alignment horizontal="center"/>
    </xf>
    <xf numFmtId="172" fontId="14" fillId="0" borderId="0" xfId="0" applyFont="1" applyFill="1" applyBorder="1" applyAlignment="1">
      <alignment horizontal="center"/>
    </xf>
    <xf numFmtId="0" fontId="15" fillId="0" borderId="0" xfId="0" applyNumberFormat="1" applyFont="1" applyFill="1" applyBorder="1" applyAlignment="1">
      <alignment horizontal="center"/>
    </xf>
    <xf numFmtId="0" fontId="15" fillId="0" borderId="0" xfId="0" applyNumberFormat="1" applyFont="1" applyBorder="1" applyAlignment="1">
      <alignment horizontal="center"/>
    </xf>
    <xf numFmtId="0" fontId="23" fillId="0" borderId="10" xfId="4" applyFont="1" applyBorder="1" applyAlignment="1">
      <alignment horizontal="center"/>
    </xf>
    <xf numFmtId="0" fontId="15" fillId="0" borderId="10" xfId="4" applyFont="1" applyBorder="1" applyAlignment="1">
      <alignment horizontal="center"/>
    </xf>
  </cellXfs>
  <cellStyles count="14">
    <cellStyle name="Comma" xfId="2" builtinId="3"/>
    <cellStyle name="Comma 2 2" xfId="6"/>
    <cellStyle name="Comma 3" xfId="9"/>
    <cellStyle name="Currency" xfId="3" builtinId="4"/>
    <cellStyle name="Currency 3" xfId="12"/>
    <cellStyle name="Normal" xfId="0" builtinId="0"/>
    <cellStyle name="Normal 3" xfId="4"/>
    <cellStyle name="Normal 3 2" xfId="5"/>
    <cellStyle name="Normal 4" xfId="8"/>
    <cellStyle name="Normal 4 2" xfId="10"/>
    <cellStyle name="Normal 5" xfId="11"/>
    <cellStyle name="Percent" xfId="1" builtinId="5"/>
    <cellStyle name="Percent 2 2" xfId="7"/>
    <cellStyle name="Percent 3" xfId="13"/>
  </cellStyles>
  <dxfs count="40">
    <dxf>
      <font>
        <sz val="10"/>
      </font>
    </dxf>
    <dxf>
      <font>
        <sz val="10"/>
      </font>
    </dxf>
    <dxf>
      <font>
        <sz val="10"/>
      </font>
    </dxf>
    <dxf>
      <font>
        <sz val="10"/>
      </font>
    </dxf>
    <dxf>
      <font>
        <sz val="10"/>
      </font>
    </dxf>
    <dxf>
      <font>
        <sz val="1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13</xdr:col>
      <xdr:colOff>523875</xdr:colOff>
      <xdr:row>45</xdr:row>
      <xdr:rowOff>53228</xdr:rowOff>
    </xdr:to>
    <xdr:pic>
      <xdr:nvPicPr>
        <xdr:cNvPr id="2" name="Picture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524000"/>
          <a:ext cx="9667875" cy="5857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m-ga-projects01/19305/030/2017%20Attach%20O%20-%20FYE%204-30-16/Attachment%20O%20Workpapers/AXLA%20Attachment%20O%20non-levelized%20FY%204-30-15%20-%202016%20Final.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ssica Rozier" refreshedDate="42454.496337384262" createdVersion="5" refreshedVersion="5" minRefreshableVersion="3" recordCount="529">
  <cacheSource type="worksheet">
    <worksheetSource ref="A8:H537" sheet="WP - Electric Utility Fund" r:id="rId2"/>
  </cacheSource>
  <cacheFields count="8">
    <cacheField name="Account" numFmtId="0">
      <sharedItems count="23">
        <s v="401-162711"/>
        <s v="401-164714"/>
        <s v="401-161711"/>
        <s v="401-161722"/>
        <s v="401-163817"/>
        <s v="401-164711"/>
        <s v="401-163721"/>
        <s v="401-164722"/>
        <s v="401-164721"/>
        <s v="401-163723"/>
        <s v="401-164723"/>
        <s v="401-163722"/>
        <s v="401-166720"/>
        <s v="401-164724"/>
        <s v="401-165721"/>
        <s v="401-164725"/>
        <s v="401-167710"/>
        <s v="401-161712"/>
        <s v="401-164726"/>
        <s v="401-165050"/>
        <s v="401-163818"/>
        <s v="401-165711"/>
        <s v="401-162712"/>
      </sharedItems>
    </cacheField>
    <cacheField name="Acq Date" numFmtId="14">
      <sharedItems containsSemiMixedTypes="0" containsNonDate="0" containsDate="1" containsString="0" minDate="1959-04-30T00:00:00" maxDate="2015-05-01T00:00:00"/>
    </cacheField>
    <cacheField name="Description" numFmtId="0">
      <sharedItems/>
    </cacheField>
    <cacheField name="Asset Tag" numFmtId="0">
      <sharedItems containsBlank="1"/>
    </cacheField>
    <cacheField name="Dep Meth1" numFmtId="0">
      <sharedItems/>
    </cacheField>
    <cacheField name="Dep Meth2" numFmtId="0">
      <sharedItems/>
    </cacheField>
    <cacheField name="Useful Life" numFmtId="0">
      <sharedItems containsSemiMixedTypes="0" containsString="0" containsNumber="1" containsInteger="1" minValue="0" maxValue="99"/>
    </cacheField>
    <cacheField name="Original Cost" numFmtId="174">
      <sharedItems containsSemiMixedTypes="0" containsString="0" containsNumber="1" minValue="0" maxValue="26775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9">
  <r>
    <x v="0"/>
    <d v="1959-04-30T00:00:00"/>
    <s v="POWER PLANT 1959"/>
    <s v="PP4010010"/>
    <s v="SLP"/>
    <s v="MM"/>
    <n v="30"/>
    <n v="4828641.46"/>
  </r>
  <r>
    <x v="0"/>
    <d v="1960-04-30T00:00:00"/>
    <s v="POWER PLANT 1960"/>
    <s v="PP4010007"/>
    <s v="SLP"/>
    <s v="MM"/>
    <n v="30"/>
    <n v="83557"/>
  </r>
  <r>
    <x v="0"/>
    <d v="1967-04-30T00:00:00"/>
    <s v="POWER PLANT 1967"/>
    <s v="PP4010004"/>
    <s v="SLP"/>
    <s v="MM"/>
    <n v="30"/>
    <n v="5358856"/>
  </r>
  <r>
    <x v="0"/>
    <d v="1967-04-30T00:00:00"/>
    <s v="POWER PLANT 1968"/>
    <s v="PP4010008"/>
    <s v="SLP"/>
    <s v="MM"/>
    <n v="30"/>
    <n v="635917"/>
  </r>
  <r>
    <x v="1"/>
    <d v="1973-04-30T00:00:00"/>
    <s v="GENERATING SYSTEM 1973"/>
    <s v="GS4010002"/>
    <s v="SLP"/>
    <s v="MM"/>
    <n v="50"/>
    <n v="43522.39"/>
  </r>
  <r>
    <x v="1"/>
    <d v="1974-04-30T00:00:00"/>
    <s v="GENERATING SYSTEM 1974"/>
    <s v="GS4010001"/>
    <s v="SLP"/>
    <s v="MM"/>
    <n v="50"/>
    <n v="14478.43"/>
  </r>
  <r>
    <x v="2"/>
    <d v="1975-01-01T00:00:00"/>
    <s v="LAND - LIGHT SYSTEM  PURPOSE"/>
    <s v="LD401001"/>
    <s v="NONE"/>
    <s v="MM"/>
    <n v="99"/>
    <n v="299808.94"/>
  </r>
  <r>
    <x v="3"/>
    <d v="1975-01-01T00:00:00"/>
    <s v="LAND - TWIN BRIDGES 10.66 ACRES"/>
    <s v="LD401002"/>
    <s v="NONE"/>
    <s v="MM"/>
    <n v="99"/>
    <n v="31980"/>
  </r>
  <r>
    <x v="0"/>
    <d v="1976-04-30T00:00:00"/>
    <s v="POWER PLANT 1976"/>
    <s v="PP4010012"/>
    <s v="SLP"/>
    <s v="MM"/>
    <n v="30"/>
    <n v="66463"/>
  </r>
  <r>
    <x v="4"/>
    <d v="1976-04-30T00:00:00"/>
    <s v="STERKX ROAD SUBSTATION 1976"/>
    <s v="SRS401004"/>
    <s v="SLP"/>
    <s v="MM"/>
    <n v="30"/>
    <n v="217493.06"/>
  </r>
  <r>
    <x v="5"/>
    <d v="1976-04-30T00:00:00"/>
    <s v="DISTRIB SYS LIGHT PROD 1976"/>
    <s v="LP4010029"/>
    <s v="SLP"/>
    <s v="MM"/>
    <n v="30"/>
    <n v="12561589.18"/>
  </r>
  <r>
    <x v="0"/>
    <d v="1977-04-30T00:00:00"/>
    <s v="POWER PLANT 1977"/>
    <s v="PP4010001"/>
    <s v="SLP"/>
    <s v="MM"/>
    <n v="20"/>
    <n v="35322"/>
  </r>
  <r>
    <x v="5"/>
    <d v="1977-04-30T00:00:00"/>
    <s v="DISTRIB SYS LIGHT PROD 1977"/>
    <s v="LP4010031"/>
    <s v="SLP"/>
    <s v="MM"/>
    <n v="30"/>
    <n v="444735.72"/>
  </r>
  <r>
    <x v="5"/>
    <d v="1978-04-30T00:00:00"/>
    <s v="DISTRIB SYS LIGHT PROD 1978"/>
    <s v="LP4010049"/>
    <s v="SLP"/>
    <s v="MM"/>
    <n v="30"/>
    <n v="425937.32"/>
  </r>
  <r>
    <x v="5"/>
    <d v="1979-04-30T00:00:00"/>
    <s v="DISTRIB SYS LIGHT PROD 1979"/>
    <s v="LP4010004"/>
    <s v="SLP"/>
    <s v="MM"/>
    <n v="30"/>
    <n v="256543.07"/>
  </r>
  <r>
    <x v="4"/>
    <d v="1980-04-30T00:00:00"/>
    <s v="STERKX ROAD SUBSTATION 1980"/>
    <s v="SRS401002"/>
    <s v="SLP"/>
    <s v="MM"/>
    <n v="30"/>
    <n v="530156.07999999996"/>
  </r>
  <r>
    <x v="5"/>
    <d v="1980-04-30T00:00:00"/>
    <s v="DISTRIB SYS LIGHT PROD 1980"/>
    <s v="LP4010012"/>
    <s v="SLP"/>
    <s v="MM"/>
    <n v="30"/>
    <n v="202465.97"/>
  </r>
  <r>
    <x v="6"/>
    <d v="1981-04-30T00:00:00"/>
    <s v="SPECIAL LIGHTING 1981"/>
    <s v="SL4010026"/>
    <s v="SLP"/>
    <s v="MM"/>
    <n v="30"/>
    <n v="16555.27"/>
  </r>
  <r>
    <x v="5"/>
    <d v="1981-04-30T00:00:00"/>
    <s v="DISTRIB SYS LIGHT PROD 1981"/>
    <s v="LP4010014"/>
    <s v="SLP"/>
    <s v="MM"/>
    <n v="30"/>
    <n v="243819.63"/>
  </r>
  <r>
    <x v="7"/>
    <d v="1981-04-30T00:00:00"/>
    <s v="TRANSFORMERS 1981"/>
    <s v="TR4010035"/>
    <s v="SLP"/>
    <s v="MM"/>
    <n v="30"/>
    <n v="120792.35"/>
  </r>
  <r>
    <x v="6"/>
    <d v="1982-04-30T00:00:00"/>
    <s v="SPECIAL LIGHTING 1982"/>
    <s v="SL4010015"/>
    <s v="SLP"/>
    <s v="MM"/>
    <n v="30"/>
    <n v="6120.45"/>
  </r>
  <r>
    <x v="5"/>
    <d v="1982-04-30T00:00:00"/>
    <s v="DISTRIB SYS LIGHT PROD 1982"/>
    <s v="LP4010007"/>
    <s v="SLP"/>
    <s v="MM"/>
    <n v="30"/>
    <n v="204407.65"/>
  </r>
  <r>
    <x v="7"/>
    <d v="1982-04-30T00:00:00"/>
    <s v="TRANSFORMERS 1982"/>
    <s v="TR4010031"/>
    <s v="SLP"/>
    <s v="MM"/>
    <n v="30"/>
    <n v="67795.19"/>
  </r>
  <r>
    <x v="0"/>
    <d v="1983-04-30T00:00:00"/>
    <s v="POWER PLANT 1983"/>
    <s v="PP4010020"/>
    <s v="SLP"/>
    <s v="MM"/>
    <n v="20"/>
    <n v="22890"/>
  </r>
  <r>
    <x v="6"/>
    <d v="1983-04-30T00:00:00"/>
    <s v="SPECIAL LIGHTING 1983"/>
    <s v="SL4010011"/>
    <s v="SLP"/>
    <s v="MM"/>
    <n v="30"/>
    <n v="5769.61"/>
  </r>
  <r>
    <x v="5"/>
    <d v="1983-04-30T00:00:00"/>
    <s v="DISTRIB SYS LIGHT PROD 1983"/>
    <s v="LP4010002"/>
    <s v="SLP"/>
    <s v="MM"/>
    <n v="30"/>
    <n v="158344.47"/>
  </r>
  <r>
    <x v="8"/>
    <d v="1983-04-30T00:00:00"/>
    <s v="LIGHT DIST SYSTEM 1983"/>
    <s v="LDS401010"/>
    <s v="SLP"/>
    <s v="MM"/>
    <n v="30"/>
    <n v="29391.22"/>
  </r>
  <r>
    <x v="7"/>
    <d v="1983-04-30T00:00:00"/>
    <s v="TRANSFORMERS 1983"/>
    <s v="TR4010038"/>
    <s v="SLP"/>
    <s v="MM"/>
    <n v="30"/>
    <n v="108198.41"/>
  </r>
  <r>
    <x v="6"/>
    <d v="1984-04-30T00:00:00"/>
    <s v="SPECIAL LIGHTING 1984"/>
    <s v="SL4010003"/>
    <s v="SLP"/>
    <s v="MM"/>
    <n v="30"/>
    <n v="12411.29"/>
  </r>
  <r>
    <x v="9"/>
    <d v="1984-04-30T00:00:00"/>
    <s v="TRANSFORMERS 1984"/>
    <s v="TR4010009"/>
    <s v="SLP"/>
    <s v="MM"/>
    <n v="30"/>
    <n v="92104.78"/>
  </r>
  <r>
    <x v="5"/>
    <d v="1984-04-30T00:00:00"/>
    <s v="DISTRIB SYS LIGHT PROD 1984"/>
    <s v="LP4010008"/>
    <s v="SLP"/>
    <s v="MM"/>
    <n v="30"/>
    <n v="176780.77"/>
  </r>
  <r>
    <x v="8"/>
    <d v="1984-04-30T00:00:00"/>
    <s v="LIGHT DIST SYSTEM 1984"/>
    <s v="LDS401005"/>
    <s v="SLP"/>
    <s v="MM"/>
    <n v="30"/>
    <n v="24306.080000000002"/>
  </r>
  <r>
    <x v="7"/>
    <d v="1984-04-30T00:00:00"/>
    <s v="TRANSFORMERS 1984"/>
    <s v="TR4010032"/>
    <s v="SLP"/>
    <s v="MM"/>
    <n v="30"/>
    <n v="50266.5"/>
  </r>
  <r>
    <x v="0"/>
    <d v="1985-04-30T00:00:00"/>
    <s v="POWER PLANT 1985"/>
    <s v="PP4010005"/>
    <s v="SLP"/>
    <s v="MM"/>
    <n v="20"/>
    <n v="124412.47"/>
  </r>
  <r>
    <x v="6"/>
    <d v="1985-04-30T00:00:00"/>
    <s v="SPECIAL LIGHTING 1985"/>
    <s v="SL4010008"/>
    <s v="SLP"/>
    <s v="MM"/>
    <n v="30"/>
    <n v="25652.77"/>
  </r>
  <r>
    <x v="9"/>
    <d v="1985-04-30T00:00:00"/>
    <s v="TRANSFORMERS 1985"/>
    <s v="TR4010008"/>
    <s v="SLP"/>
    <s v="MM"/>
    <n v="30"/>
    <n v="101662.48"/>
  </r>
  <r>
    <x v="5"/>
    <d v="1985-04-30T00:00:00"/>
    <s v="DISTRIB SYS LIGHT PROD 1985"/>
    <s v="LP4010006"/>
    <s v="SLP"/>
    <s v="MM"/>
    <n v="30"/>
    <n v="206611.52"/>
  </r>
  <r>
    <x v="8"/>
    <d v="1985-04-30T00:00:00"/>
    <s v="LIGHT DIST SYSTEM 1985"/>
    <s v="LDS401004"/>
    <s v="SLP"/>
    <s v="MM"/>
    <n v="30"/>
    <n v="11685.18"/>
  </r>
  <r>
    <x v="7"/>
    <d v="1985-04-30T00:00:00"/>
    <s v="TRANSFORMERS 1985"/>
    <s v="TR4010029"/>
    <s v="SLP"/>
    <s v="MM"/>
    <n v="30"/>
    <n v="11311.52"/>
  </r>
  <r>
    <x v="10"/>
    <d v="1985-04-30T00:00:00"/>
    <s v="TWIN BRIDGES 138 KVA"/>
    <s v="TR-TB40101"/>
    <s v="SLP"/>
    <s v="MM"/>
    <n v="30"/>
    <n v="3024139.93"/>
  </r>
  <r>
    <x v="0"/>
    <d v="1986-04-30T00:00:00"/>
    <s v="POWER PLANT 1986"/>
    <s v="PP4010016"/>
    <s v="SLP"/>
    <s v="MM"/>
    <n v="20"/>
    <n v="141637.1"/>
  </r>
  <r>
    <x v="6"/>
    <d v="1986-04-30T00:00:00"/>
    <s v="SPECIAL LIGHTING 1986"/>
    <s v="SL4010005"/>
    <s v="SLP"/>
    <s v="MM"/>
    <n v="30"/>
    <n v="26100.400000000001"/>
  </r>
  <r>
    <x v="6"/>
    <d v="1986-04-30T00:00:00"/>
    <s v="SPECIAL LIGHTING 1986"/>
    <s v="SL4010014"/>
    <s v="SLP"/>
    <s v="MM"/>
    <n v="30"/>
    <n v="44330.85"/>
  </r>
  <r>
    <x v="11"/>
    <d v="1986-04-30T00:00:00"/>
    <s v="LIGHT METERS 1986"/>
    <s v="LM4010009"/>
    <s v="SLP"/>
    <s v="MM"/>
    <n v="25"/>
    <n v="41613.18"/>
  </r>
  <r>
    <x v="9"/>
    <d v="1986-04-30T00:00:00"/>
    <s v="TRANSFORMERS 1986"/>
    <s v="TR4010011"/>
    <s v="SLP"/>
    <s v="MM"/>
    <n v="30"/>
    <n v="170580.36"/>
  </r>
  <r>
    <x v="5"/>
    <d v="1986-04-30T00:00:00"/>
    <s v="DISTRIB SYS LIGHT PROD 1986"/>
    <s v="LP4010026"/>
    <s v="SLP"/>
    <s v="MM"/>
    <n v="30"/>
    <n v="303410.74"/>
  </r>
  <r>
    <x v="5"/>
    <d v="1986-04-30T00:00:00"/>
    <s v="DISTRIB SYS LIGHT PROD 1986"/>
    <s v="LP4010028"/>
    <s v="SLP"/>
    <s v="MM"/>
    <n v="30"/>
    <n v="230069.27"/>
  </r>
  <r>
    <x v="0"/>
    <d v="1987-04-30T00:00:00"/>
    <s v="POWER PLANT 1987"/>
    <s v="PP4010003"/>
    <s v="SLP"/>
    <s v="MM"/>
    <n v="20"/>
    <n v="602975.53"/>
  </r>
  <r>
    <x v="6"/>
    <d v="1987-04-30T00:00:00"/>
    <s v="SPECIAL LIGHTING 1987"/>
    <s v="SL4010013"/>
    <s v="SLP"/>
    <s v="MM"/>
    <n v="30"/>
    <n v="19093.25"/>
  </r>
  <r>
    <x v="11"/>
    <d v="1987-04-30T00:00:00"/>
    <s v="LIGHT METERS 1987"/>
    <s v="LM4010005"/>
    <s v="SLP"/>
    <s v="MM"/>
    <n v="25"/>
    <n v="40238.01"/>
  </r>
  <r>
    <x v="9"/>
    <d v="1987-04-30T00:00:00"/>
    <s v="TRANSFORMERS 1987"/>
    <s v="TR4010027"/>
    <s v="SLP"/>
    <s v="MM"/>
    <n v="30"/>
    <n v="122277.89"/>
  </r>
  <r>
    <x v="5"/>
    <d v="1987-04-30T00:00:00"/>
    <s v="DISTRIB SYS LIGHT PROD 1987"/>
    <s v="LP4010005"/>
    <s v="SLP"/>
    <s v="MM"/>
    <n v="30"/>
    <n v="270711.89"/>
  </r>
  <r>
    <x v="12"/>
    <d v="1988-01-01T00:00:00"/>
    <s v="THERMAN POWER DOLLY"/>
    <s v="L-116"/>
    <s v="SLP"/>
    <s v="MM"/>
    <n v="10"/>
    <n v="50015.61"/>
  </r>
  <r>
    <x v="0"/>
    <d v="1988-04-30T00:00:00"/>
    <s v="POWER PLANT 1988"/>
    <s v="PP4010002"/>
    <s v="SLP"/>
    <s v="MM"/>
    <n v="20"/>
    <n v="289185.14"/>
  </r>
  <r>
    <x v="6"/>
    <d v="1988-04-30T00:00:00"/>
    <s v="SPECIAL LIGHTING 1988"/>
    <s v="SL4010002"/>
    <s v="SLP"/>
    <s v="MM"/>
    <n v="30"/>
    <n v="24803.91"/>
  </r>
  <r>
    <x v="11"/>
    <d v="1988-04-30T00:00:00"/>
    <s v="LIGHT METERS 1988"/>
    <s v="LM4010010"/>
    <s v="SLP"/>
    <s v="MM"/>
    <n v="25"/>
    <n v="21642.55"/>
  </r>
  <r>
    <x v="9"/>
    <d v="1988-04-30T00:00:00"/>
    <s v="TRANSFORMERS 1988"/>
    <s v="TR4010002"/>
    <s v="SLP"/>
    <s v="MM"/>
    <n v="30"/>
    <n v="92680.3"/>
  </r>
  <r>
    <x v="8"/>
    <d v="1988-04-30T00:00:00"/>
    <s v="LIGHT DIST SYSTEM 1988"/>
    <s v="LDS401001"/>
    <s v="SLP"/>
    <s v="MM"/>
    <n v="30"/>
    <n v="163998.63"/>
  </r>
  <r>
    <x v="13"/>
    <d v="1988-04-30T00:00:00"/>
    <s v="WILLOW GLEN 25 MVA TRANSFORMER"/>
    <s v="TR-WG401"/>
    <s v="SLP"/>
    <s v="MM"/>
    <n v="30"/>
    <n v="1706177.25"/>
  </r>
  <r>
    <x v="14"/>
    <d v="1989-01-01T00:00:00"/>
    <s v="1989 C/D HOMEMADE TRAILER"/>
    <s v="189"/>
    <s v="SLP"/>
    <s v="MM"/>
    <n v="10"/>
    <n v="1275"/>
  </r>
  <r>
    <x v="0"/>
    <d v="1989-04-30T00:00:00"/>
    <s v="POWER PLANT 1989"/>
    <s v="PP4010009"/>
    <s v="SLP"/>
    <s v="MM"/>
    <n v="20"/>
    <n v="105169.28"/>
  </r>
  <r>
    <x v="6"/>
    <d v="1989-04-30T00:00:00"/>
    <s v="SPECIAL LIGHTING 1989"/>
    <s v="SL4010012"/>
    <s v="SLP"/>
    <s v="MM"/>
    <n v="30"/>
    <n v="23373.78"/>
  </r>
  <r>
    <x v="11"/>
    <d v="1989-04-30T00:00:00"/>
    <s v="LIGHT METERS 1989"/>
    <s v="LM4010039"/>
    <s v="SLP"/>
    <s v="MM"/>
    <n v="25"/>
    <n v="13651.19"/>
  </r>
  <r>
    <x v="9"/>
    <d v="1989-04-30T00:00:00"/>
    <s v="TRANSFORMERS 1989"/>
    <s v="TR4010003"/>
    <s v="SLP"/>
    <s v="MM"/>
    <n v="30"/>
    <n v="5012.0200000000004"/>
  </r>
  <r>
    <x v="9"/>
    <d v="1989-04-30T00:00:00"/>
    <s v="TRANSFORMERS 1989"/>
    <s v="TR4010004"/>
    <s v="SLP"/>
    <s v="MM"/>
    <n v="30"/>
    <n v="30704.97"/>
  </r>
  <r>
    <x v="5"/>
    <d v="1989-04-30T00:00:00"/>
    <s v="DISTRIB SYS LIGHT PROD 1989"/>
    <s v="LP4010011"/>
    <s v="SLP"/>
    <s v="MM"/>
    <n v="30"/>
    <n v="112164.85"/>
  </r>
  <r>
    <x v="8"/>
    <d v="1989-04-30T00:00:00"/>
    <s v="LIGHT DIST SYSTEM 1989"/>
    <s v="LDS401003"/>
    <s v="SLP"/>
    <s v="MM"/>
    <n v="30"/>
    <n v="158395.72"/>
  </r>
  <r>
    <x v="15"/>
    <d v="1989-04-30T00:00:00"/>
    <s v="138 KV TIE LINES"/>
    <s v="TR-KV401"/>
    <s v="SLP"/>
    <s v="MM"/>
    <n v="30"/>
    <n v="6070224.8499999996"/>
  </r>
  <r>
    <x v="14"/>
    <d v="1989-04-30T00:00:00"/>
    <s v="1965 C/D CARGO TRAILER"/>
    <s v="130"/>
    <s v="SLP"/>
    <s v="MM"/>
    <n v="5"/>
    <n v="0"/>
  </r>
  <r>
    <x v="0"/>
    <d v="1990-04-30T00:00:00"/>
    <s v="POWER PLANT 1990"/>
    <s v="PP4010006"/>
    <s v="SLP"/>
    <s v="MM"/>
    <n v="20"/>
    <n v="282736.14"/>
  </r>
  <r>
    <x v="11"/>
    <d v="1990-04-30T00:00:00"/>
    <s v="LIGHT METERS 1990"/>
    <s v="LM4010011"/>
    <s v="SLP"/>
    <s v="MM"/>
    <n v="25"/>
    <n v="33038.44"/>
  </r>
  <r>
    <x v="8"/>
    <d v="1990-04-30T00:00:00"/>
    <s v="LIGHT DIST SYSTEM 1990"/>
    <s v="LDS401007"/>
    <s v="SLP"/>
    <s v="MM"/>
    <n v="30"/>
    <n v="6423.88"/>
  </r>
  <r>
    <x v="7"/>
    <d v="1990-04-30T00:00:00"/>
    <s v="TRANSFORMERS 1990"/>
    <s v="TR4010043"/>
    <s v="SLP"/>
    <s v="MM"/>
    <n v="30"/>
    <n v="170349.22"/>
  </r>
  <r>
    <x v="15"/>
    <d v="1990-04-30T00:00:00"/>
    <s v="138 KV TIE LINES"/>
    <s v="TR-KV402"/>
    <s v="SLP"/>
    <s v="MM"/>
    <n v="30"/>
    <n v="7162.44"/>
  </r>
  <r>
    <x v="12"/>
    <d v="1990-08-24T00:00:00"/>
    <s v="CASE 586E FORKLIFT"/>
    <s v="194"/>
    <s v="SLP"/>
    <s v="MM"/>
    <n v="8"/>
    <n v="27677.15"/>
  </r>
  <r>
    <x v="12"/>
    <d v="1990-09-21T00:00:00"/>
    <s v="FAIRMONT CIRCULAR SAW"/>
    <s v="90000172"/>
    <s v="SLP"/>
    <s v="MM"/>
    <n v="5"/>
    <n v="856.8"/>
  </r>
  <r>
    <x v="12"/>
    <d v="1990-09-21T00:00:00"/>
    <s v="FAIRMONT CIRCULAR SAW H6300 D"/>
    <s v="90000173"/>
    <s v="SLP"/>
    <s v="MM"/>
    <n v="5"/>
    <n v="856.8"/>
  </r>
  <r>
    <x v="12"/>
    <d v="1990-12-28T00:00:00"/>
    <s v="4 YD REAR LOAD REFUSE CONT"/>
    <s v="90000208"/>
    <s v="SLP"/>
    <s v="MM"/>
    <n v="5"/>
    <n v="485.78"/>
  </r>
  <r>
    <x v="12"/>
    <d v="1990-12-28T00:00:00"/>
    <s v="4 YD REAR LOAD REFUSE CONT"/>
    <s v="90000209"/>
    <s v="SLP"/>
    <s v="MM"/>
    <n v="5"/>
    <n v="485.78"/>
  </r>
  <r>
    <x v="16"/>
    <d v="1991-02-01T00:00:00"/>
    <s v="APERATURE CARD READER"/>
    <s v="19346"/>
    <s v="SLP"/>
    <s v="MM"/>
    <n v="8"/>
    <n v="3710.76"/>
  </r>
  <r>
    <x v="0"/>
    <d v="1991-04-30T00:00:00"/>
    <s v="POWER PLANT1991"/>
    <s v="PP4010011"/>
    <s v="SLP"/>
    <s v="MM"/>
    <n v="30"/>
    <n v="2590557.5499999998"/>
  </r>
  <r>
    <x v="5"/>
    <d v="1991-04-30T00:00:00"/>
    <s v="BUILDING IMPROVEMENTS 1991"/>
    <s v="LP4010001"/>
    <s v="SLP"/>
    <s v="MM"/>
    <n v="30"/>
    <n v="4606.33"/>
  </r>
  <r>
    <x v="5"/>
    <d v="1991-04-30T00:00:00"/>
    <s v="DISTRIB SYS LIGHT PROD 1991"/>
    <s v="LP4010010"/>
    <s v="SLP"/>
    <s v="MM"/>
    <n v="30"/>
    <n v="97009.27"/>
  </r>
  <r>
    <x v="5"/>
    <d v="1991-04-30T00:00:00"/>
    <s v="BUILDING IMPROVEMENTS 1991"/>
    <s v="LP4010015"/>
    <s v="SLP"/>
    <s v="MM"/>
    <n v="30"/>
    <n v="39731.72"/>
  </r>
  <r>
    <x v="15"/>
    <d v="1991-04-30T00:00:00"/>
    <s v="138 KV TIE LINES"/>
    <s v="TR-KV403"/>
    <s v="SLP"/>
    <s v="MM"/>
    <n v="30"/>
    <n v="14710.55"/>
  </r>
  <r>
    <x v="15"/>
    <d v="1991-04-30T00:00:00"/>
    <s v="128 KV TIE LINES"/>
    <s v="TR-KV404"/>
    <s v="SLP"/>
    <s v="MM"/>
    <n v="30"/>
    <n v="85137"/>
  </r>
  <r>
    <x v="12"/>
    <d v="1991-08-08T00:00:00"/>
    <s v="DRAWER LATERAL LEGAL SIZE"/>
    <s v="18840"/>
    <s v="SLP"/>
    <s v="MM"/>
    <n v="8"/>
    <n v="529.65"/>
  </r>
  <r>
    <x v="12"/>
    <d v="1991-08-20T00:00:00"/>
    <s v="PAOLI  OAK CONFERENCE TABLE"/>
    <s v="18839"/>
    <s v="SLP"/>
    <s v="MM"/>
    <n v="8"/>
    <n v="1070"/>
  </r>
  <r>
    <x v="12"/>
    <d v="1991-09-17T00:00:00"/>
    <s v="PAOLI 36X72  WALNUT DESK"/>
    <s v="18870"/>
    <s v="SLP"/>
    <s v="MM"/>
    <n v="8"/>
    <n v="1250"/>
  </r>
  <r>
    <x v="12"/>
    <d v="1991-09-17T00:00:00"/>
    <s v="PAOLI WALNUT CREDENZA"/>
    <s v="18873"/>
    <s v="SLP"/>
    <s v="MM"/>
    <n v="8"/>
    <n v="975"/>
  </r>
  <r>
    <x v="12"/>
    <d v="1991-09-17T00:00:00"/>
    <s v="PAOLI WALNUT DESK 36 X 72"/>
    <s v="18878"/>
    <s v="SLP"/>
    <s v="MM"/>
    <n v="8"/>
    <n v="1250"/>
  </r>
  <r>
    <x v="12"/>
    <d v="1991-09-17T00:00:00"/>
    <s v="PAOLI WALNUT CREDENZA"/>
    <s v="18879"/>
    <s v="SLP"/>
    <s v="MM"/>
    <n v="8"/>
    <n v="975"/>
  </r>
  <r>
    <x v="6"/>
    <d v="1991-10-01T00:00:00"/>
    <s v="SPECIAL LIGHTING 1991"/>
    <s v="SL4010009"/>
    <s v="SLP"/>
    <s v="MM"/>
    <n v="30"/>
    <n v="32101.65"/>
  </r>
  <r>
    <x v="11"/>
    <d v="1991-10-01T00:00:00"/>
    <s v="LIGHT METERS 1991"/>
    <s v="LM4010008"/>
    <s v="SLP"/>
    <s v="MM"/>
    <n v="25"/>
    <n v="27158.04"/>
  </r>
  <r>
    <x v="9"/>
    <d v="1991-10-01T00:00:00"/>
    <s v="TRANSFORMERS 1991"/>
    <s v="TR4010012"/>
    <s v="SLP"/>
    <s v="MM"/>
    <n v="30"/>
    <n v="123863.14"/>
  </r>
  <r>
    <x v="8"/>
    <d v="1991-10-01T00:00:00"/>
    <s v="LIGHT DIST SYSTEM 1991"/>
    <s v="LDS401006"/>
    <s v="SLP"/>
    <s v="MM"/>
    <n v="30"/>
    <n v="99000.320000000007"/>
  </r>
  <r>
    <x v="7"/>
    <d v="1991-12-03T00:00:00"/>
    <s v="TRANSFORMERS 1991"/>
    <s v="TR4010040"/>
    <s v="SLP"/>
    <s v="MM"/>
    <n v="30"/>
    <n v="244559"/>
  </r>
  <r>
    <x v="16"/>
    <d v="1991-12-11T00:00:00"/>
    <s v="FULL FEATURE SNIFFER MX800S - MC PRODUCTS"/>
    <s v="17490"/>
    <s v="SLP"/>
    <s v="MM"/>
    <n v="8"/>
    <n v="1822"/>
  </r>
  <r>
    <x v="8"/>
    <d v="1991-12-12T00:00:00"/>
    <s v="UNDERGROUND PRIMARY"/>
    <s v="LDS401011"/>
    <s v="SLP"/>
    <s v="MM"/>
    <n v="30"/>
    <n v="4340"/>
  </r>
  <r>
    <x v="5"/>
    <d v="1992-04-14T00:00:00"/>
    <s v="PCB STORAGE FACILITY 1992"/>
    <s v="LP4010016"/>
    <s v="SLP"/>
    <s v="MM"/>
    <n v="30"/>
    <n v="50361.53"/>
  </r>
  <r>
    <x v="12"/>
    <d v="1992-04-29T00:00:00"/>
    <s v="AIR COMPRESSOR"/>
    <s v="15577"/>
    <s v="SLP"/>
    <s v="MM"/>
    <n v="8"/>
    <n v="995"/>
  </r>
  <r>
    <x v="5"/>
    <d v="1992-04-30T00:00:00"/>
    <s v="LINE EXTENSION &amp; IMPROVEMENTS 1992"/>
    <s v="LP4010003"/>
    <s v="SLP"/>
    <s v="MM"/>
    <n v="30"/>
    <n v="111203.84"/>
  </r>
  <r>
    <x v="16"/>
    <d v="1992-06-17T00:00:00"/>
    <s v="PORTABLE LIQUITOTE TANK"/>
    <s v="90000630"/>
    <s v="SLP"/>
    <s v="MM"/>
    <n v="8"/>
    <n v="1089"/>
  </r>
  <r>
    <x v="16"/>
    <d v="1992-06-17T00:00:00"/>
    <s v="PORTABLE LIQUITOTE TANK"/>
    <s v="90000631"/>
    <s v="SLP"/>
    <s v="MM"/>
    <n v="8"/>
    <n v="1089"/>
  </r>
  <r>
    <x v="12"/>
    <d v="1992-07-23T00:00:00"/>
    <s v="DIAMOND SAN MONITOR"/>
    <s v="21453"/>
    <s v="SLP"/>
    <s v="MM"/>
    <n v="5"/>
    <n v="2888.99"/>
  </r>
  <r>
    <x v="16"/>
    <d v="1992-07-23T00:00:00"/>
    <s v="PORTABLE LIQUITOTE TANK"/>
    <s v="90000632"/>
    <s v="SLP"/>
    <s v="MM"/>
    <n v="8"/>
    <n v="1089"/>
  </r>
  <r>
    <x v="12"/>
    <d v="1992-08-25T00:00:00"/>
    <s v="CLARK FORKLIFT"/>
    <s v="25"/>
    <s v="SLP"/>
    <s v="MM"/>
    <n v="5"/>
    <n v="18009.02"/>
  </r>
  <r>
    <x v="12"/>
    <d v="1992-09-25T00:00:00"/>
    <s v="DIELETRIC OIL TESTER"/>
    <s v="21446"/>
    <s v="SLP"/>
    <s v="MM"/>
    <n v="5"/>
    <n v="2245"/>
  </r>
  <r>
    <x v="8"/>
    <d v="1992-10-07T00:00:00"/>
    <s v="OVERHEAD DOOR FURNISHED &amp; INSTALLED"/>
    <s v="LDS401002"/>
    <s v="SLP"/>
    <s v="MM"/>
    <n v="30"/>
    <n v="1138.25"/>
  </r>
  <r>
    <x v="12"/>
    <d v="1992-11-10T00:00:00"/>
    <s v="DIGITAL CRANE SCALE"/>
    <s v="18897"/>
    <s v="SLP"/>
    <s v="MM"/>
    <n v="8"/>
    <n v="1196.54"/>
  </r>
  <r>
    <x v="12"/>
    <d v="1992-12-18T00:00:00"/>
    <s v="ROBO IMPACT 7/16&quot; DRILL &amp; CHARGER"/>
    <s v="18888"/>
    <s v="SLP"/>
    <s v="MM"/>
    <n v="5"/>
    <n v="916.87"/>
  </r>
  <r>
    <x v="16"/>
    <d v="1993-02-18T00:00:00"/>
    <s v="1993 TIGER H-D FLAIL MOWER"/>
    <s v="219"/>
    <s v="SLP"/>
    <s v="MM"/>
    <n v="8"/>
    <n v="4639.58"/>
  </r>
  <r>
    <x v="16"/>
    <d v="1993-02-18T00:00:00"/>
    <s v="PHOENIX DRY ROD OVEN"/>
    <s v="18985"/>
    <s v="SLP"/>
    <s v="MM"/>
    <n v="5"/>
    <n v="660"/>
  </r>
  <r>
    <x v="14"/>
    <d v="1993-04-16T00:00:00"/>
    <s v="1993 INTERNATIONAL TRUCK"/>
    <s v="V208"/>
    <s v="SLP"/>
    <s v="MM"/>
    <n v="8"/>
    <n v="76677.34"/>
  </r>
  <r>
    <x v="12"/>
    <d v="1993-04-16T00:00:00"/>
    <s v="1450 GAL VERTICAL STORAGE TANK"/>
    <s v="90000683"/>
    <s v="SLP"/>
    <s v="MM"/>
    <n v="8"/>
    <n v="1608"/>
  </r>
  <r>
    <x v="6"/>
    <d v="1993-04-30T00:00:00"/>
    <s v="SPECIAL LIGHTING 1993"/>
    <s v="SL4010017"/>
    <s v="SLP"/>
    <s v="MM"/>
    <n v="30"/>
    <n v="70872.67"/>
  </r>
  <r>
    <x v="11"/>
    <d v="1993-04-30T00:00:00"/>
    <s v="LIGHT METERS 1993"/>
    <s v="LM4010019"/>
    <s v="SLP"/>
    <s v="MM"/>
    <n v="25"/>
    <n v="31223.75"/>
  </r>
  <r>
    <x v="9"/>
    <d v="1993-04-30T00:00:00"/>
    <s v="TRANSFORMERS 1993"/>
    <s v="TR4010010"/>
    <s v="SLP"/>
    <s v="MM"/>
    <n v="30"/>
    <n v="283948.25"/>
  </r>
  <r>
    <x v="5"/>
    <d v="1993-04-30T00:00:00"/>
    <s v="LINE EXTENSION &amp; IMPROVEMENTS 1993"/>
    <s v="LP4010017"/>
    <s v="SLP"/>
    <s v="MM"/>
    <n v="30"/>
    <n v="6306.34"/>
  </r>
  <r>
    <x v="5"/>
    <d v="1993-04-30T00:00:00"/>
    <s v="PCB STORAGE FAICLITY 1993"/>
    <s v="LP4010027"/>
    <s v="SLP"/>
    <s v="MM"/>
    <n v="30"/>
    <n v="8841.15"/>
  </r>
  <r>
    <x v="5"/>
    <d v="1993-04-30T00:00:00"/>
    <s v="DISTRIB SYS LIGHT PROD 1993"/>
    <s v="LP4010034"/>
    <s v="SLP"/>
    <s v="MM"/>
    <n v="30"/>
    <n v="134845.82"/>
  </r>
  <r>
    <x v="8"/>
    <d v="1993-04-30T00:00:00"/>
    <s v="UPGRADING OF DOWNTOWN 2.4 KV SERV"/>
    <s v="LDS401009"/>
    <s v="SLP"/>
    <s v="MM"/>
    <n v="30"/>
    <n v="201836.23"/>
  </r>
  <r>
    <x v="7"/>
    <d v="1993-04-30T00:00:00"/>
    <s v="PCB TRANSFORMERS 1993"/>
    <s v="TR4010028"/>
    <s v="SLP"/>
    <s v="MM"/>
    <n v="30"/>
    <n v="126460"/>
  </r>
  <r>
    <x v="14"/>
    <d v="1993-04-30T00:00:00"/>
    <s v="1993 CF'S 18FT. UTILITY TRAILER"/>
    <s v="V204"/>
    <s v="SLP"/>
    <s v="MM"/>
    <n v="5"/>
    <n v="1875"/>
  </r>
  <r>
    <x v="16"/>
    <d v="1993-04-30T00:00:00"/>
    <s v="NILFISK WET/DRY HEPA VACUUM"/>
    <s v="18946"/>
    <s v="SLP"/>
    <s v="MM"/>
    <n v="5"/>
    <n v="2233.17"/>
  </r>
  <r>
    <x v="16"/>
    <d v="1993-04-30T00:00:00"/>
    <s v="PORTABLE LIQUITOTE TANK"/>
    <s v="90000633"/>
    <s v="SLP"/>
    <s v="MM"/>
    <n v="5"/>
    <n v="1089"/>
  </r>
  <r>
    <x v="12"/>
    <d v="1994-04-01T00:00:00"/>
    <s v="#65 RECEIVER &amp; TRANSMITTER LINE LOCATOR"/>
    <s v="22358"/>
    <s v="SLP"/>
    <s v="MM"/>
    <n v="5"/>
    <n v="2820"/>
  </r>
  <r>
    <x v="12"/>
    <d v="1994-04-15T00:00:00"/>
    <s v="VOLTAGE RECORDER W/PROBE &amp; COMM PKG"/>
    <s v="22355"/>
    <s v="SLP"/>
    <s v="MM"/>
    <n v="5"/>
    <n v="2513"/>
  </r>
  <r>
    <x v="6"/>
    <d v="1994-04-30T00:00:00"/>
    <s v="SPECIAL LIGHTING 1994"/>
    <s v="SL4010004"/>
    <s v="SLP"/>
    <s v="MM"/>
    <n v="30"/>
    <n v="50672.61"/>
  </r>
  <r>
    <x v="11"/>
    <d v="1994-04-30T00:00:00"/>
    <s v="LIGHT METERS 1994"/>
    <s v="LM4010016"/>
    <s v="SLP"/>
    <s v="MM"/>
    <n v="25"/>
    <n v="30659.47"/>
  </r>
  <r>
    <x v="9"/>
    <d v="1994-04-30T00:00:00"/>
    <s v="TRANSFORMERS 1994"/>
    <s v="TR4010006"/>
    <s v="SLP"/>
    <s v="MM"/>
    <n v="30"/>
    <n v="148729.35"/>
  </r>
  <r>
    <x v="5"/>
    <d v="1994-04-30T00:00:00"/>
    <s v="DISTRIB SYS LIGHT PROD 1994"/>
    <s v="LP4010020"/>
    <s v="SLP"/>
    <s v="MM"/>
    <n v="30"/>
    <n v="113292.86"/>
  </r>
  <r>
    <x v="5"/>
    <d v="1994-04-30T00:00:00"/>
    <s v="DOWNTOWN CONVERSION 1995"/>
    <s v="LP4010032"/>
    <s v="SLP"/>
    <s v="MM"/>
    <n v="30"/>
    <n v="19424.87"/>
  </r>
  <r>
    <x v="8"/>
    <d v="1994-04-30T00:00:00"/>
    <s v="LIGHT DIST SYSTEM 1994"/>
    <s v="LDS401008"/>
    <s v="SLP"/>
    <s v="MM"/>
    <n v="30"/>
    <n v="56533.18"/>
  </r>
  <r>
    <x v="12"/>
    <d v="1994-06-07T00:00:00"/>
    <s v="ONE BURNDY Y750 HYDRAULIC HAND TOOL"/>
    <s v="22456"/>
    <s v="SLP"/>
    <s v="MM"/>
    <n v="5"/>
    <n v="1125"/>
  </r>
  <r>
    <x v="12"/>
    <d v="1994-10-14T00:00:00"/>
    <s v="INFRARED LASER SCANNER"/>
    <s v="22455"/>
    <s v="SLP"/>
    <s v="MM"/>
    <n v="5"/>
    <n v="1145"/>
  </r>
  <r>
    <x v="0"/>
    <d v="1994-11-01T00:00:00"/>
    <s v="OIL SWITCHES"/>
    <s v="PP4010013"/>
    <s v="SLP"/>
    <s v="MM"/>
    <n v="10"/>
    <n v="28618.400000000001"/>
  </r>
  <r>
    <x v="16"/>
    <d v="1995-03-31T00:00:00"/>
    <s v="1995 JOHN DEERE BACKHOE / BREAKER"/>
    <s v="775"/>
    <s v="SLP"/>
    <s v="MM"/>
    <n v="8"/>
    <n v="55855"/>
  </r>
  <r>
    <x v="12"/>
    <d v="1995-04-13T00:00:00"/>
    <s v="TRANSFORMER TURN RATION TEST SET"/>
    <s v="18440"/>
    <s v="SLP"/>
    <s v="MM"/>
    <n v="5"/>
    <n v="3260"/>
  </r>
  <r>
    <x v="6"/>
    <d v="1995-04-30T00:00:00"/>
    <s v="SPECIAL LIGHTING 1995"/>
    <s v="SL4010001"/>
    <s v="SLP"/>
    <s v="MM"/>
    <n v="30"/>
    <n v="41631.120000000003"/>
  </r>
  <r>
    <x v="11"/>
    <d v="1995-04-30T00:00:00"/>
    <s v="LIGHT METERS 1995"/>
    <s v="LM4010004"/>
    <s v="SLP"/>
    <s v="MM"/>
    <n v="25"/>
    <n v="42436.5"/>
  </r>
  <r>
    <x v="9"/>
    <d v="1995-04-30T00:00:00"/>
    <s v="TRANSFORMERS 1995"/>
    <s v="TR4010007"/>
    <s v="SLP"/>
    <s v="MM"/>
    <n v="30"/>
    <n v="206297.74"/>
  </r>
  <r>
    <x v="5"/>
    <d v="1995-04-30T00:00:00"/>
    <s v="DISTRIB SYS LIGHT PROD 1995"/>
    <s v="LP4010033"/>
    <s v="SLP"/>
    <s v="MM"/>
    <n v="30"/>
    <n v="61532.61"/>
  </r>
  <r>
    <x v="14"/>
    <d v="1996-02-02T00:00:00"/>
    <s v="1996 INTERNATIONAL AERIAL LIFT TRUCK"/>
    <s v="V220"/>
    <s v="SLP"/>
    <s v="MM"/>
    <n v="8"/>
    <n v="99795"/>
  </r>
  <r>
    <x v="16"/>
    <d v="1996-03-15T00:00:00"/>
    <s v="1997 JOHN DEERE 5400 TRACTOR"/>
    <s v="965"/>
    <s v="SLP"/>
    <s v="MM"/>
    <n v="8"/>
    <n v="19229.82"/>
  </r>
  <r>
    <x v="16"/>
    <d v="1996-03-15T00:00:00"/>
    <s v="DESK"/>
    <s v="21534"/>
    <s v="SLP"/>
    <s v="MM"/>
    <n v="8"/>
    <n v="510"/>
  </r>
  <r>
    <x v="12"/>
    <d v="1996-04-16T00:00:00"/>
    <s v="MOTOROLA MTS 2000 PORTABLE RADIO 800M"/>
    <s v="90000965"/>
    <s v="SLP"/>
    <s v="MM"/>
    <n v="8"/>
    <n v="2297"/>
  </r>
  <r>
    <x v="16"/>
    <d v="1996-04-26T00:00:00"/>
    <s v="4 DRAWER LEGAL FIRE CABINET"/>
    <s v="21535"/>
    <s v="SLP"/>
    <s v="MM"/>
    <n v="8"/>
    <n v="989"/>
  </r>
  <r>
    <x v="17"/>
    <d v="1996-04-30T00:00:00"/>
    <s v="LAND DOWNTOWN SUBSTATION"/>
    <s v="LD401003"/>
    <s v="NONE"/>
    <s v="MM"/>
    <n v="99"/>
    <n v="400000"/>
  </r>
  <r>
    <x v="6"/>
    <d v="1996-04-30T00:00:00"/>
    <s v="SPECIAL LIGHTING 1996"/>
    <s v="SL4010007"/>
    <s v="SLP"/>
    <s v="MM"/>
    <n v="30"/>
    <n v="50940.49"/>
  </r>
  <r>
    <x v="11"/>
    <d v="1996-04-30T00:00:00"/>
    <s v="LIGHT METERS 1996"/>
    <s v="LM4010001"/>
    <s v="SLP"/>
    <s v="MM"/>
    <n v="25"/>
    <n v="44965.919999999998"/>
  </r>
  <r>
    <x v="9"/>
    <d v="1996-04-30T00:00:00"/>
    <s v="TRANSFORMERS 1996"/>
    <s v="TR4010005"/>
    <s v="SLP"/>
    <s v="MM"/>
    <n v="30"/>
    <n v="260036.98"/>
  </r>
  <r>
    <x v="5"/>
    <d v="1996-04-30T00:00:00"/>
    <s v="DISTRIB SYS LIGHT PROD 1996"/>
    <s v="LP4010019"/>
    <s v="SLP"/>
    <s v="MM"/>
    <n v="30"/>
    <n v="111591.08"/>
  </r>
  <r>
    <x v="12"/>
    <d v="1996-08-16T00:00:00"/>
    <s v="HYDRAULIC CRIMPING TOOL"/>
    <s v="90001046"/>
    <s v="SLP"/>
    <s v="MM"/>
    <n v="5"/>
    <n v="1766.88"/>
  </r>
  <r>
    <x v="12"/>
    <d v="1996-10-25T00:00:00"/>
    <s v="MODIFY RADIO TOWER FROM 120' TO 140'"/>
    <s v="90001051"/>
    <s v="SLP"/>
    <s v="MM"/>
    <n v="8"/>
    <n v="6320"/>
  </r>
  <r>
    <x v="16"/>
    <d v="1996-10-25T00:00:00"/>
    <s v="18 CU FT REFRIGERATOR"/>
    <s v="18578"/>
    <s v="SLP"/>
    <s v="MM"/>
    <n v="5"/>
    <n v="549"/>
  </r>
  <r>
    <x v="12"/>
    <d v="1997-01-03T00:00:00"/>
    <s v="FAIRMONT HYDRAULIC TAMP"/>
    <s v="90001053"/>
    <s v="SLP"/>
    <s v="MM"/>
    <n v="5"/>
    <n v="1023.51"/>
  </r>
  <r>
    <x v="12"/>
    <d v="1997-04-28T00:00:00"/>
    <s v="SHAMPOO &amp; BUFFER 20&quot; MACHINE"/>
    <s v="18309"/>
    <s v="SLP"/>
    <s v="MM"/>
    <n v="5"/>
    <n v="789"/>
  </r>
  <r>
    <x v="0"/>
    <d v="1997-04-30T00:00:00"/>
    <s v="FLAME GUARD"/>
    <s v="PP4010014"/>
    <s v="SLP"/>
    <s v="MM"/>
    <n v="30"/>
    <n v="103393.06"/>
  </r>
  <r>
    <x v="6"/>
    <d v="1997-04-30T00:00:00"/>
    <s v="SPECIAL LIGHTING 1997"/>
    <s v="SL4010010"/>
    <s v="SLP"/>
    <s v="MM"/>
    <n v="30"/>
    <n v="42774.559999999998"/>
  </r>
  <r>
    <x v="11"/>
    <d v="1997-04-30T00:00:00"/>
    <s v="LIGHT METERS 1997"/>
    <s v="LM4010007"/>
    <s v="SLP"/>
    <s v="MM"/>
    <n v="25"/>
    <n v="39895.040000000001"/>
  </r>
  <r>
    <x v="9"/>
    <d v="1997-04-30T00:00:00"/>
    <s v="TRANSFORMERS 1997"/>
    <s v="TR4010001"/>
    <s v="SLP"/>
    <s v="MM"/>
    <n v="30"/>
    <n v="307241.03000000003"/>
  </r>
  <r>
    <x v="4"/>
    <d v="1997-04-30T00:00:00"/>
    <s v="STERKX ROAD SUBSTATION 1997"/>
    <s v="SRS401001"/>
    <s v="SLP"/>
    <s v="MM"/>
    <n v="30"/>
    <n v="2017226.62"/>
  </r>
  <r>
    <x v="5"/>
    <d v="1997-04-30T00:00:00"/>
    <s v="DISTRIB SYS LIGHT PROD 1997"/>
    <s v="LP4010030"/>
    <s v="SLP"/>
    <s v="MM"/>
    <n v="30"/>
    <n v="91791.21"/>
  </r>
  <r>
    <x v="12"/>
    <d v="1997-04-30T00:00:00"/>
    <s v="COUNTER PLUS FOR ELECTRIC METER TESTER SYSTEM"/>
    <s v="90001158"/>
    <s v="SLP"/>
    <s v="MM"/>
    <n v="5"/>
    <n v="7349.25"/>
  </r>
  <r>
    <x v="12"/>
    <d v="1997-05-23T00:00:00"/>
    <s v="7) HASTINGS GROUNDING REEL"/>
    <s v="22674"/>
    <s v="SLP"/>
    <s v="MM"/>
    <n v="5"/>
    <n v="5718.65"/>
  </r>
  <r>
    <x v="12"/>
    <d v="1997-06-06T00:00:00"/>
    <s v="KUBOTA LAWN MOWER G1800"/>
    <s v="20466"/>
    <s v="SLP"/>
    <s v="MM"/>
    <n v="5"/>
    <n v="6928"/>
  </r>
  <r>
    <x v="12"/>
    <d v="1997-09-26T00:00:00"/>
    <s v="HERBICIDE SPRAYER"/>
    <s v="1004"/>
    <s v="SLP"/>
    <s v="MM"/>
    <n v="5"/>
    <n v="1080"/>
  </r>
  <r>
    <x v="6"/>
    <d v="1997-09-30T00:00:00"/>
    <s v="SPECIAL LIGHTING 1998"/>
    <s v="SL4010047"/>
    <s v="SLP"/>
    <s v="MM"/>
    <n v="30"/>
    <n v="9073.6299999999992"/>
  </r>
  <r>
    <x v="12"/>
    <d v="1997-10-24T00:00:00"/>
    <s v="FAIR 1/2 IMPACT WRENCH"/>
    <s v="21635"/>
    <s v="SLP"/>
    <s v="MM"/>
    <n v="5"/>
    <n v="601.77"/>
  </r>
  <r>
    <x v="12"/>
    <d v="1997-10-24T00:00:00"/>
    <s v="FAIR 1/2 IMPACT WRENCH"/>
    <s v="21636"/>
    <s v="SLP"/>
    <s v="MM"/>
    <n v="5"/>
    <n v="601.77"/>
  </r>
  <r>
    <x v="6"/>
    <d v="1997-10-31T00:00:00"/>
    <s v="SPECIAL LIGHTING 1998"/>
    <s v="SL4010048"/>
    <s v="SLP"/>
    <s v="MM"/>
    <n v="30"/>
    <n v="5189.1400000000003"/>
  </r>
  <r>
    <x v="5"/>
    <d v="1997-10-31T00:00:00"/>
    <s v="BUDD CONSTRUCTION CIP 1998"/>
    <s v="LP4010036"/>
    <s v="SLP"/>
    <s v="MM"/>
    <n v="30"/>
    <n v="44999.68"/>
  </r>
  <r>
    <x v="12"/>
    <d v="1998-02-13T00:00:00"/>
    <s v="COMPAQ - ARMADA LAPTOP COMPUTER"/>
    <s v="21631"/>
    <s v="SLP"/>
    <s v="MM"/>
    <n v="5"/>
    <n v="2520.1"/>
  </r>
  <r>
    <x v="5"/>
    <d v="1998-04-28T00:00:00"/>
    <s v="DISTRIB SYS LIGHT PROD 1998"/>
    <s v="LP4010040"/>
    <s v="SLP"/>
    <s v="MM"/>
    <n v="30"/>
    <n v="103177.81"/>
  </r>
  <r>
    <x v="5"/>
    <d v="1998-04-28T00:00:00"/>
    <s v="DISTRIB SYS LIGHT PROD CIP 1998"/>
    <s v="LP4010047"/>
    <s v="SLP"/>
    <s v="MM"/>
    <n v="30"/>
    <n v="132980.89000000001"/>
  </r>
  <r>
    <x v="0"/>
    <d v="1998-04-30T00:00:00"/>
    <s v="POWER PLANT SEWER"/>
    <s v="PP4010017"/>
    <s v="SLP"/>
    <s v="MM"/>
    <n v="20"/>
    <n v="79824.899999999994"/>
  </r>
  <r>
    <x v="0"/>
    <d v="1998-04-30T00:00:00"/>
    <s v="REBUILD COOLING TOWER 4"/>
    <s v="PP4010018"/>
    <s v="SLP"/>
    <s v="MM"/>
    <n v="20"/>
    <n v="115860"/>
  </r>
  <r>
    <x v="0"/>
    <d v="1998-04-30T00:00:00"/>
    <s v="DG HEATER REPOWERING"/>
    <s v="PP4010019"/>
    <s v="SLP"/>
    <s v="MM"/>
    <n v="20"/>
    <n v="70526.289999999994"/>
  </r>
  <r>
    <x v="6"/>
    <d v="1998-04-30T00:00:00"/>
    <s v="SPECIAL LIGHTING 1998"/>
    <s v="SL4010027"/>
    <s v="SLP"/>
    <s v="MM"/>
    <n v="30"/>
    <n v="33706.97"/>
  </r>
  <r>
    <x v="11"/>
    <d v="1998-04-30T00:00:00"/>
    <s v="LIGHT METERS 1998"/>
    <s v="LM4010029"/>
    <s v="SLP"/>
    <s v="MM"/>
    <n v="25"/>
    <n v="36293.86"/>
  </r>
  <r>
    <x v="9"/>
    <d v="1998-04-30T00:00:00"/>
    <s v="TRANSFORMERS 1998"/>
    <s v="TR4010013"/>
    <s v="SLP"/>
    <s v="MM"/>
    <n v="30"/>
    <n v="356594.7"/>
  </r>
  <r>
    <x v="4"/>
    <d v="1998-04-30T00:00:00"/>
    <s v="STERKX ROAD SUBSTATION 1998"/>
    <s v="SRS401003"/>
    <s v="SLP"/>
    <s v="MM"/>
    <n v="30"/>
    <n v="7809.61"/>
  </r>
  <r>
    <x v="16"/>
    <d v="1998-04-30T00:00:00"/>
    <s v="HI-BOY AIRLESS SPRAY PAINT KIT"/>
    <s v="21643"/>
    <s v="SLP"/>
    <s v="MM"/>
    <n v="8"/>
    <n v="1870"/>
  </r>
  <r>
    <x v="8"/>
    <d v="1998-07-02T00:00:00"/>
    <s v="POLE CHANGE AND RELOCATION"/>
    <s v="LDS401013"/>
    <s v="SLP"/>
    <s v="MM"/>
    <n v="30"/>
    <n v="10817"/>
  </r>
  <r>
    <x v="8"/>
    <d v="1998-07-02T00:00:00"/>
    <s v="TITLE I-49 LIGHTING"/>
    <s v="LDS401014"/>
    <s v="SLP"/>
    <s v="MM"/>
    <n v="30"/>
    <n v="10313"/>
  </r>
  <r>
    <x v="12"/>
    <d v="1998-07-17T00:00:00"/>
    <s v="MANITOWA ICE MACHINE - QD0803W"/>
    <s v="22675"/>
    <s v="SLP"/>
    <s v="MM"/>
    <n v="5"/>
    <n v="3617.4"/>
  </r>
  <r>
    <x v="12"/>
    <d v="1998-07-17T00:00:00"/>
    <s v="HAMMER DRILL F10"/>
    <s v="22676"/>
    <s v="SLP"/>
    <s v="MM"/>
    <n v="5"/>
    <n v="1019.06"/>
  </r>
  <r>
    <x v="12"/>
    <d v="1998-07-31T00:00:00"/>
    <s v="B&amp;S AIR COMPRESSOR 8HP MODEL"/>
    <s v="1047"/>
    <s v="SLP"/>
    <s v="MM"/>
    <n v="5"/>
    <n v="1136.9100000000001"/>
  </r>
  <r>
    <x v="12"/>
    <d v="1998-07-31T00:00:00"/>
    <s v="UNDERGROUND LEVELWIND ATTACHMENT FOR TENSIONER/PUL"/>
    <s v="V1042A"/>
    <s v="SLP"/>
    <s v="MM"/>
    <n v="5"/>
    <n v="4254"/>
  </r>
  <r>
    <x v="12"/>
    <d v="1998-07-31T00:00:00"/>
    <s v="T30/36 BWRC &amp; DPT30B FINAL"/>
    <s v="V1043A"/>
    <s v="SLP"/>
    <s v="MM"/>
    <n v="5"/>
    <n v="52184"/>
  </r>
  <r>
    <x v="12"/>
    <d v="1998-08-14T00:00:00"/>
    <s v="HONDA GENERATOR EB6500SXA"/>
    <s v="1041"/>
    <s v="SLP"/>
    <s v="MM"/>
    <n v="5"/>
    <n v="2419"/>
  </r>
  <r>
    <x v="8"/>
    <d v="1998-11-16T00:00:00"/>
    <s v="SYSTEM ADDITIONS 1999 - CIP"/>
    <s v="LDS401070"/>
    <s v="SLP"/>
    <s v="MM"/>
    <n v="30"/>
    <n v="163839.51999999999"/>
  </r>
  <r>
    <x v="8"/>
    <d v="1998-11-16T00:00:00"/>
    <s v="SYSTEM ADDITIONS 1999 - CIP"/>
    <s v="LDS401071"/>
    <s v="SLP"/>
    <s v="MM"/>
    <n v="30"/>
    <n v="24977"/>
  </r>
  <r>
    <x v="12"/>
    <d v="1999-03-26T00:00:00"/>
    <s v="IBM CPU 300PL"/>
    <s v="23280"/>
    <s v="SLP"/>
    <s v="MM"/>
    <n v="5"/>
    <n v="1781.64"/>
  </r>
  <r>
    <x v="16"/>
    <d v="1999-04-09T00:00:00"/>
    <s v="INWOOD DESK CF1272"/>
    <s v="23333"/>
    <s v="SLP"/>
    <s v="MM"/>
    <n v="8"/>
    <n v="997"/>
  </r>
  <r>
    <x v="16"/>
    <d v="1999-04-09T00:00:00"/>
    <s v="INWOOD DESK W / HUTCH 19488L"/>
    <s v="23334"/>
    <s v="SLP"/>
    <s v="MM"/>
    <n v="8"/>
    <n v="995.5"/>
  </r>
  <r>
    <x v="12"/>
    <d v="1999-04-23T00:00:00"/>
    <s v="CRIMPING TOOL"/>
    <s v="22679"/>
    <s v="SLP"/>
    <s v="MM"/>
    <n v="5"/>
    <n v="1668.01"/>
  </r>
  <r>
    <x v="5"/>
    <d v="1999-04-28T00:00:00"/>
    <s v="DISTRIB SYS LIGHT PROD CIP 1999"/>
    <s v="LP4010048"/>
    <s v="SLP"/>
    <s v="MM"/>
    <n v="30"/>
    <n v="73356.039999999994"/>
  </r>
  <r>
    <x v="11"/>
    <d v="1999-04-30T00:00:00"/>
    <s v="LIGHT METERS 1999"/>
    <s v="LM4010023"/>
    <s v="SLP"/>
    <s v="MM"/>
    <n v="25"/>
    <n v="43272.99"/>
  </r>
  <r>
    <x v="9"/>
    <d v="1999-04-30T00:00:00"/>
    <s v="TRANSFORMERS 1999"/>
    <s v="TR4010023"/>
    <s v="SLP"/>
    <s v="MM"/>
    <n v="30"/>
    <n v="319667.49"/>
  </r>
  <r>
    <x v="8"/>
    <d v="1999-04-30T00:00:00"/>
    <s v="LIGHT DIST SYSTEM 1999"/>
    <s v="LDS401012"/>
    <s v="SLP"/>
    <s v="MM"/>
    <n v="30"/>
    <n v="110635.73"/>
  </r>
  <r>
    <x v="8"/>
    <d v="1999-04-30T00:00:00"/>
    <s v="LIGHT DIST SYSTEM 1999"/>
    <s v="LDS401015"/>
    <s v="SLP"/>
    <s v="MM"/>
    <n v="30"/>
    <n v="125394.25"/>
  </r>
  <r>
    <x v="7"/>
    <d v="1999-04-30T00:00:00"/>
    <s v="TRANSFORMERS 1999"/>
    <s v="TR4010049"/>
    <s v="SLP"/>
    <s v="MM"/>
    <n v="30"/>
    <n v="38250"/>
  </r>
  <r>
    <x v="0"/>
    <d v="2000-04-30T00:00:00"/>
    <s v="Power Plant FY 2000 - CIP"/>
    <s v="PP4010021"/>
    <s v="SLP"/>
    <s v="MM"/>
    <n v="20"/>
    <n v="103765.79"/>
  </r>
  <r>
    <x v="6"/>
    <d v="2000-04-30T00:00:00"/>
    <s v="SPECIAL LIGHTING 2000"/>
    <s v="SL4010046"/>
    <s v="SLP"/>
    <s v="MM"/>
    <n v="30"/>
    <n v="70223.94"/>
  </r>
  <r>
    <x v="11"/>
    <d v="2000-04-30T00:00:00"/>
    <s v="LIGHT METERS 2000"/>
    <s v="LM4010040"/>
    <s v="SLP"/>
    <s v="MM"/>
    <n v="25"/>
    <n v="38302.879999999997"/>
  </r>
  <r>
    <x v="8"/>
    <d v="2000-04-30T00:00:00"/>
    <s v="SYSTEM ADDITIONS 2000 - CIP"/>
    <s v="LDS401073"/>
    <s v="SLP"/>
    <s v="MM"/>
    <n v="30"/>
    <n v="88923.69"/>
  </r>
  <r>
    <x v="8"/>
    <d v="2000-04-30T00:00:00"/>
    <s v="LIGHT DIST SYSTEM 2000"/>
    <s v="LDS401074"/>
    <s v="SLP"/>
    <s v="MM"/>
    <n v="30"/>
    <n v="127272.7"/>
  </r>
  <r>
    <x v="7"/>
    <d v="2000-04-30T00:00:00"/>
    <s v="TRANSFORMER 2000"/>
    <s v="TR4010050"/>
    <s v="SLP"/>
    <s v="MM"/>
    <n v="30"/>
    <n v="365418.4"/>
  </r>
  <r>
    <x v="18"/>
    <d v="2000-04-30T00:00:00"/>
    <s v="DOWNTOWN SUBSTATION 2000"/>
    <s v="SUB000001"/>
    <s v="SLP"/>
    <s v="MM"/>
    <n v="30"/>
    <n v="9593838.8399999999"/>
  </r>
  <r>
    <x v="12"/>
    <d v="2000-04-30T00:00:00"/>
    <s v="IBM CPU 300PL"/>
    <s v="23261"/>
    <s v="SLP"/>
    <s v="MM"/>
    <n v="5"/>
    <n v="1729.7"/>
  </r>
  <r>
    <x v="12"/>
    <d v="2000-04-30T00:00:00"/>
    <s v="IBM MONITOR PT500"/>
    <s v="23286"/>
    <s v="SLP"/>
    <s v="MM"/>
    <n v="5"/>
    <n v="0"/>
  </r>
  <r>
    <x v="12"/>
    <d v="2000-04-30T00:00:00"/>
    <s v="IBM MONITOR PT500"/>
    <s v="23289"/>
    <s v="SLP"/>
    <s v="MM"/>
    <n v="5"/>
    <n v="0"/>
  </r>
  <r>
    <x v="12"/>
    <d v="2000-04-30T00:00:00"/>
    <s v="IBM CPU 300PL"/>
    <s v="23290"/>
    <s v="SLP"/>
    <s v="MM"/>
    <n v="5"/>
    <n v="1729.7"/>
  </r>
  <r>
    <x v="12"/>
    <d v="2000-04-30T00:00:00"/>
    <s v="KEARNEY 12 TON BATTERY-POWERED CRIMPING F10-EK120K"/>
    <s v="23308"/>
    <s v="SLP"/>
    <s v="MM"/>
    <n v="5"/>
    <n v="2376.59"/>
  </r>
  <r>
    <x v="12"/>
    <d v="2000-04-30T00:00:00"/>
    <s v="IBM LAPTOP TP390"/>
    <s v="23309"/>
    <s v="SLP"/>
    <s v="MM"/>
    <n v="5"/>
    <n v="3031.12"/>
  </r>
  <r>
    <x v="12"/>
    <d v="2000-04-30T00:00:00"/>
    <s v="OFS MAHOGANY DESK 30-6630"/>
    <s v="23275"/>
    <s v="SLP"/>
    <s v="MM"/>
    <n v="8"/>
    <n v="775"/>
  </r>
  <r>
    <x v="12"/>
    <d v="2000-04-30T00:00:00"/>
    <s v="OFS MAHOGANY DESK 30-6630"/>
    <s v="23276"/>
    <s v="SLP"/>
    <s v="MM"/>
    <n v="8"/>
    <n v="775"/>
  </r>
  <r>
    <x v="6"/>
    <d v="2000-05-31T00:00:00"/>
    <s v="SPECIAL LIGHTING 2001"/>
    <s v="SL4010044"/>
    <s v="SLP"/>
    <s v="MM"/>
    <n v="30"/>
    <n v="76123.87"/>
  </r>
  <r>
    <x v="14"/>
    <d v="2000-06-30T00:00:00"/>
    <s v="RADIOS FOR NEW VEHICLES 2001"/>
    <s v="D23437"/>
    <s v="SLP"/>
    <s v="MM"/>
    <n v="5"/>
    <n v="3286.1"/>
  </r>
  <r>
    <x v="12"/>
    <d v="2000-06-30T00:00:00"/>
    <s v="RADIO SYSTEM UPGRADE 2001"/>
    <s v="D23438"/>
    <s v="SLP"/>
    <s v="MM"/>
    <n v="5"/>
    <n v="6629.7"/>
  </r>
  <r>
    <x v="12"/>
    <d v="2000-07-14T00:00:00"/>
    <s v="2) SAFETY POLE TONG"/>
    <s v="D23439"/>
    <s v="SLP"/>
    <s v="MM"/>
    <n v="5"/>
    <n v="1180.3"/>
  </r>
  <r>
    <x v="12"/>
    <d v="2000-10-20T00:00:00"/>
    <s v="STANLEY IMPACT WRENCH l DO4"/>
    <s v="D23440"/>
    <s v="SLP"/>
    <s v="MM"/>
    <n v="5"/>
    <n v="806.22"/>
  </r>
  <r>
    <x v="12"/>
    <d v="2000-10-20T00:00:00"/>
    <s v="2)VS-3 80-300VOLT &amp; CURRENT MOTOR"/>
    <s v="D23441"/>
    <s v="SLP"/>
    <s v="MM"/>
    <n v="5"/>
    <n v="2808.01"/>
  </r>
  <r>
    <x v="12"/>
    <d v="2000-12-15T00:00:00"/>
    <s v="LANDA HOT WATER WASHER VNG4-20021"/>
    <s v="22194"/>
    <s v="SLP"/>
    <s v="MM"/>
    <n v="5"/>
    <n v="4250"/>
  </r>
  <r>
    <x v="12"/>
    <d v="2001-02-23T00:00:00"/>
    <s v="HEATING UNIT W/ REMOTE THERMOSTAT"/>
    <s v="D23442"/>
    <s v="SLP"/>
    <s v="MM"/>
    <n v="5"/>
    <n v="2283.3000000000002"/>
  </r>
  <r>
    <x v="12"/>
    <d v="2001-03-23T00:00:00"/>
    <s v="SURGE ARRESTER TESTER HISAT-5"/>
    <s v="23340"/>
    <s v="SLP"/>
    <s v="MM"/>
    <n v="5"/>
    <n v="2666.5"/>
  </r>
  <r>
    <x v="11"/>
    <d v="2001-04-30T00:00:00"/>
    <s v="LIGHT METERS 2001"/>
    <s v="LM4010041"/>
    <s v="SLP"/>
    <s v="MM"/>
    <n v="25"/>
    <n v="39714.32"/>
  </r>
  <r>
    <x v="9"/>
    <d v="2001-04-30T00:00:00"/>
    <s v="TRANSFORMERS 2001"/>
    <s v="TR4011028"/>
    <s v="SLP"/>
    <s v="MM"/>
    <n v="30"/>
    <n v="35485.5"/>
  </r>
  <r>
    <x v="8"/>
    <d v="2001-04-30T00:00:00"/>
    <s v="LIGHT DIST SYSTEM 2001"/>
    <s v="LDS401075"/>
    <s v="SLP"/>
    <s v="MM"/>
    <n v="30"/>
    <n v="101707.07"/>
  </r>
  <r>
    <x v="7"/>
    <d v="2001-04-30T00:00:00"/>
    <s v="TRANSFORMERS 2001"/>
    <s v="TR4010051"/>
    <s v="SLP"/>
    <s v="MM"/>
    <n v="30"/>
    <n v="265990.99"/>
  </r>
  <r>
    <x v="12"/>
    <d v="2001-08-10T00:00:00"/>
    <s v="IBM MONITOR P76"/>
    <s v="100278"/>
    <s v="SLP"/>
    <s v="MM"/>
    <n v="5"/>
    <n v="0"/>
  </r>
  <r>
    <x v="14"/>
    <d v="2001-08-24T00:00:00"/>
    <s v="2001 FORD TRUCK F150"/>
    <s v="V1279"/>
    <s v="SLP"/>
    <s v="MM"/>
    <n v="5"/>
    <n v="15611.5"/>
  </r>
  <r>
    <x v="14"/>
    <d v="2001-08-24T00:00:00"/>
    <s v="2001 FORD TRUCK F150"/>
    <s v="V1281"/>
    <s v="SLP"/>
    <s v="MM"/>
    <n v="5"/>
    <n v="15611.5"/>
  </r>
  <r>
    <x v="12"/>
    <d v="2001-08-24T00:00:00"/>
    <s v="GENERAL 36&quot; WATER-COOLED FAN PAC2K363S"/>
    <s v="100282"/>
    <s v="SLP"/>
    <s v="MM"/>
    <n v="5"/>
    <n v="1995"/>
  </r>
  <r>
    <x v="12"/>
    <d v="2001-08-24T00:00:00"/>
    <s v="2) SILENT WITNESS CAMERAS V-60"/>
    <s v="D100437"/>
    <s v="SLP"/>
    <s v="MM"/>
    <n v="5"/>
    <n v="2204"/>
  </r>
  <r>
    <x v="14"/>
    <d v="2001-10-05T00:00:00"/>
    <s v="2001 FORD TRUCK  F150"/>
    <s v="V1290"/>
    <s v="SLP"/>
    <s v="MM"/>
    <n v="5"/>
    <n v="17538.5"/>
  </r>
  <r>
    <x v="12"/>
    <d v="2001-11-02T00:00:00"/>
    <s v="DITCH WITCH LOCATOR 950R  &amp; TRANSMITTER 950T"/>
    <s v="100285"/>
    <s v="SLP"/>
    <s v="MM"/>
    <n v="5"/>
    <n v="3460"/>
  </r>
  <r>
    <x v="12"/>
    <d v="2002-01-11T00:00:00"/>
    <s v="ADVANCE 15 LIGHT ARROW BOARD W/PHOTO WWAW15SB-STD"/>
    <s v="1304"/>
    <s v="SLP"/>
    <s v="MM"/>
    <n v="5"/>
    <n v="5006.25"/>
  </r>
  <r>
    <x v="12"/>
    <d v="2002-01-25T00:00:00"/>
    <s v="2002 POLE &amp; CARGO TRAILER C10 - COMBINATION"/>
    <s v="1305"/>
    <s v="SLP"/>
    <s v="MM"/>
    <n v="5"/>
    <n v="8195"/>
  </r>
  <r>
    <x v="12"/>
    <d v="2002-01-25T00:00:00"/>
    <s v="IBM WHEELWRITER #1500"/>
    <s v="100284"/>
    <s v="SLP"/>
    <s v="MM"/>
    <n v="5"/>
    <n v="0"/>
  </r>
  <r>
    <x v="12"/>
    <d v="2002-02-22T00:00:00"/>
    <s v="GREENLEE FAIRMOUNT TAMPER 72&quot; W/ VALVE"/>
    <s v="D100438"/>
    <s v="SLP"/>
    <s v="MM"/>
    <n v="5"/>
    <n v="1112"/>
  </r>
  <r>
    <x v="12"/>
    <d v="2002-03-22T00:00:00"/>
    <s v="IBM MONITOR P275"/>
    <s v="100280"/>
    <s v="SLP"/>
    <s v="MM"/>
    <n v="5"/>
    <n v="0"/>
  </r>
  <r>
    <x v="19"/>
    <d v="2002-04-19T00:00:00"/>
    <s v="CASCADE SOFTWARE &amp; MAINT, LICENSES"/>
    <s v="D100439"/>
    <s v="SLP"/>
    <s v="MM"/>
    <n v="5"/>
    <n v="15266.01"/>
  </r>
  <r>
    <x v="14"/>
    <d v="2002-04-19T00:00:00"/>
    <s v="2003 INTERNATIONAL 4300 CAB &amp; CHASSIS"/>
    <s v="V1324"/>
    <s v="SLP"/>
    <s v="MM"/>
    <n v="5"/>
    <n v="42323.92"/>
  </r>
  <r>
    <x v="12"/>
    <d v="2002-04-19T00:00:00"/>
    <s v="SIMPSON EGER OHM METER 505"/>
    <s v="100281"/>
    <s v="SLP"/>
    <s v="MM"/>
    <n v="5"/>
    <n v="2120"/>
  </r>
  <r>
    <x v="16"/>
    <d v="2002-04-19T00:00:00"/>
    <s v="ACRA MILL MILLING MACHINE 5 HP #SK914-7"/>
    <s v="100268"/>
    <s v="SLP"/>
    <s v="MM"/>
    <n v="5"/>
    <n v="13595"/>
  </r>
  <r>
    <x v="16"/>
    <d v="2002-04-19T00:00:00"/>
    <s v="RONAN ANNUNICATOR SYSTEM FOR #3 MOD# ROX11"/>
    <s v="D100687"/>
    <s v="SLP"/>
    <s v="MM"/>
    <n v="5"/>
    <n v="1643.57"/>
  </r>
  <r>
    <x v="0"/>
    <d v="2002-04-30T00:00:00"/>
    <s v="Power Plant FY 2002 - CIP"/>
    <s v="PP4010022"/>
    <s v="SLP"/>
    <s v="MM"/>
    <n v="20"/>
    <n v="690079.69"/>
  </r>
  <r>
    <x v="6"/>
    <d v="2002-04-30T00:00:00"/>
    <s v="SPECIAL LIGHTING  2002"/>
    <s v="SL4010045"/>
    <s v="SLP"/>
    <s v="MM"/>
    <n v="30"/>
    <n v="118044.92"/>
  </r>
  <r>
    <x v="11"/>
    <d v="2002-04-30T00:00:00"/>
    <s v="LIGHT METERS 2002"/>
    <s v="LM4010042"/>
    <s v="SLP"/>
    <s v="MM"/>
    <n v="25"/>
    <n v="43386.239999999998"/>
  </r>
  <r>
    <x v="8"/>
    <d v="2002-04-30T00:00:00"/>
    <s v="LIGHT DIST SYSTEM 2002"/>
    <s v="LDS401076"/>
    <s v="SLP"/>
    <s v="MM"/>
    <n v="30"/>
    <n v="98472.15"/>
  </r>
  <r>
    <x v="8"/>
    <d v="2002-04-30T00:00:00"/>
    <s v="SYSTEM ADDITIONS 2002 - CIP"/>
    <s v="LDS401077"/>
    <s v="SLP"/>
    <s v="MM"/>
    <n v="30"/>
    <n v="338406.17"/>
  </r>
  <r>
    <x v="8"/>
    <d v="2002-04-30T00:00:00"/>
    <s v="SYSTEM ADDITIONS 2002 - CIP"/>
    <s v="LDS401078"/>
    <s v="SLP"/>
    <s v="MM"/>
    <n v="30"/>
    <n v="125392.21"/>
  </r>
  <r>
    <x v="7"/>
    <d v="2002-04-30T00:00:00"/>
    <s v="TRANSFORMERS 2002"/>
    <s v="TR4010052"/>
    <s v="SLP"/>
    <s v="MM"/>
    <n v="30"/>
    <n v="343096.07"/>
  </r>
  <r>
    <x v="14"/>
    <d v="2002-09-06T00:00:00"/>
    <s v="ALTEC AERIAL DEVICE AA755-MH"/>
    <s v="V1324A"/>
    <s v="SLP"/>
    <s v="MM"/>
    <n v="5"/>
    <n v="55715"/>
  </r>
  <r>
    <x v="12"/>
    <d v="2002-09-06T00:00:00"/>
    <s v="INSTALLATION OF SECURITY CAMERA"/>
    <s v="D100563"/>
    <s v="SLP"/>
    <s v="MM"/>
    <n v="5"/>
    <n v="908"/>
  </r>
  <r>
    <x v="19"/>
    <d v="2002-10-04T00:00:00"/>
    <s v="ENGINEERING PROJECT MANAGEMENT"/>
    <s v="D101009"/>
    <s v="SLP"/>
    <s v="MM"/>
    <n v="5"/>
    <n v="24910"/>
  </r>
  <r>
    <x v="12"/>
    <d v="2002-10-04T00:00:00"/>
    <s v="PORSCHE MILLENNIUM HARDWARE UPGRADE"/>
    <s v="D101011"/>
    <s v="SLP"/>
    <s v="MM"/>
    <n v="5"/>
    <n v="11906.36"/>
  </r>
  <r>
    <x v="12"/>
    <d v="2002-11-15T00:00:00"/>
    <s v="IBM THINKPAD"/>
    <s v="100656"/>
    <s v="SLP"/>
    <s v="MM"/>
    <n v="5"/>
    <n v="1663"/>
  </r>
  <r>
    <x v="16"/>
    <d v="2003-02-07T00:00:00"/>
    <s v="MILLER MATIC WELDING MACHINE #210"/>
    <s v="100972"/>
    <s v="SLP"/>
    <s v="MM"/>
    <n v="5"/>
    <n v="1643"/>
  </r>
  <r>
    <x v="12"/>
    <d v="2003-03-07T00:00:00"/>
    <s v="HP DIGITAL CAMERA PHOTOSMART"/>
    <s v="100975"/>
    <s v="SLP"/>
    <s v="MM"/>
    <n v="5"/>
    <n v="0"/>
  </r>
  <r>
    <x v="12"/>
    <d v="2003-04-04T00:00:00"/>
    <s v="FAIRMOUNT PIPE TAMP"/>
    <s v="100976"/>
    <s v="SLP"/>
    <s v="MM"/>
    <n v="5"/>
    <n v="1155.94"/>
  </r>
  <r>
    <x v="12"/>
    <d v="2003-04-04T00:00:00"/>
    <s v="COLOR CAMERA w/ LENS &amp; MOUNTING BRACKETS"/>
    <s v="D101035"/>
    <s v="SLP"/>
    <s v="MM"/>
    <n v="5"/>
    <n v="1338.65"/>
  </r>
  <r>
    <x v="16"/>
    <d v="2003-04-04T00:00:00"/>
    <s v="HORIZONTAL BANDSAW W/MOTOR HBS-916A"/>
    <s v="100642"/>
    <s v="SLP"/>
    <s v="MM"/>
    <n v="5"/>
    <n v="2191.98"/>
  </r>
  <r>
    <x v="0"/>
    <d v="2003-04-30T00:00:00"/>
    <s v="Power Plant FY 2003"/>
    <s v="PP4010023"/>
    <s v="SLP"/>
    <s v="MM"/>
    <n v="20"/>
    <n v="41677.26"/>
  </r>
  <r>
    <x v="6"/>
    <d v="2003-04-30T00:00:00"/>
    <s v="SPECIAL LIGHTING  2003"/>
    <s v="SL4010046"/>
    <s v="SLP"/>
    <s v="MM"/>
    <n v="30"/>
    <n v="97713.7"/>
  </r>
  <r>
    <x v="11"/>
    <d v="2003-04-30T00:00:00"/>
    <s v="LIGHT METERS 2003"/>
    <s v="LM4010043"/>
    <s v="SLP"/>
    <s v="MM"/>
    <n v="25"/>
    <n v="45599.78"/>
  </r>
  <r>
    <x v="20"/>
    <d v="2003-04-30T00:00:00"/>
    <s v="BAYOU RAPIDES SUBSTATION"/>
    <s v="BRS401001"/>
    <s v="SLP"/>
    <s v="MM"/>
    <n v="30"/>
    <n v="4343710.4400000004"/>
  </r>
  <r>
    <x v="8"/>
    <d v="2003-04-30T00:00:00"/>
    <s v="SYSTEM ADDITIONS 2003"/>
    <s v="LDS401079"/>
    <s v="SLP"/>
    <s v="MM"/>
    <n v="30"/>
    <n v="271571.21000000002"/>
  </r>
  <r>
    <x v="7"/>
    <d v="2003-04-30T00:00:00"/>
    <s v="TRANSFORMERS 2003"/>
    <s v="TR4010053"/>
    <s v="SLP"/>
    <s v="MM"/>
    <n v="30"/>
    <n v="229896"/>
  </r>
  <r>
    <x v="10"/>
    <d v="2003-04-30T00:00:00"/>
    <s v="TWIN BRIDGES 138 KVA"/>
    <s v="TR-TB40102"/>
    <s v="SLP"/>
    <s v="MM"/>
    <n v="30"/>
    <n v="1892546.28"/>
  </r>
  <r>
    <x v="12"/>
    <d v="2003-07-25T00:00:00"/>
    <s v="NEC LCD MONITOR L180P"/>
    <s v="101315"/>
    <s v="SLP"/>
    <s v="MM"/>
    <n v="5"/>
    <n v="0"/>
  </r>
  <r>
    <x v="12"/>
    <d v="2003-08-08T00:00:00"/>
    <s v="IBM  MONITOR T860"/>
    <s v="100977"/>
    <s v="SLP"/>
    <s v="MM"/>
    <n v="5"/>
    <n v="0"/>
  </r>
  <r>
    <x v="12"/>
    <d v="2003-08-08T00:00:00"/>
    <s v="IBM NETVISTA M42"/>
    <s v="100978"/>
    <s v="SLP"/>
    <s v="MM"/>
    <n v="5"/>
    <n v="1918.1"/>
  </r>
  <r>
    <x v="14"/>
    <d v="2003-09-19T00:00:00"/>
    <s v="2003 FORD TRUCK F150"/>
    <s v="V1381"/>
    <s v="SLP"/>
    <s v="MM"/>
    <n v="5"/>
    <n v="15374.5"/>
  </r>
  <r>
    <x v="12"/>
    <d v="2003-09-19T00:00:00"/>
    <s v="INSTALL 6 COLOR CAMERAS W/ 8MM LENS, POWER SUPPLIE"/>
    <s v="D101546"/>
    <s v="SLP"/>
    <s v="MM"/>
    <n v="5"/>
    <n v="5140.83"/>
  </r>
  <r>
    <x v="12"/>
    <d v="2003-10-17T00:00:00"/>
    <s v="950R SUBSITE RECEIVER"/>
    <s v="101321"/>
    <s v="SLP"/>
    <s v="MM"/>
    <n v="5"/>
    <n v="2375"/>
  </r>
  <r>
    <x v="12"/>
    <d v="2003-10-17T00:00:00"/>
    <s v="950T SUBSITE TRANSMITTER"/>
    <s v="101322"/>
    <s v="SLP"/>
    <s v="MM"/>
    <n v="5"/>
    <n v="1490"/>
  </r>
  <r>
    <x v="12"/>
    <d v="2003-10-17T00:00:00"/>
    <s v="ELECTRONIC MARKER LOCATOR"/>
    <s v="101323"/>
    <s v="SLP"/>
    <s v="MM"/>
    <n v="5"/>
    <n v="1231.8699999999999"/>
  </r>
  <r>
    <x v="12"/>
    <d v="2003-11-14T00:00:00"/>
    <s v="FAIRMOUNT CIRCULAR SAW F10-43180"/>
    <s v="101319"/>
    <s v="SLP"/>
    <s v="MM"/>
    <n v="5"/>
    <n v="892.49"/>
  </r>
  <r>
    <x v="12"/>
    <d v="2003-11-26T00:00:00"/>
    <s v="PHAZER AUTOMATIC METER TEST SYSTEM J120"/>
    <s v="101314"/>
    <s v="SLP"/>
    <s v="MM"/>
    <n v="5"/>
    <n v="24975"/>
  </r>
  <r>
    <x v="12"/>
    <d v="2003-11-26T00:00:00"/>
    <s v="A-BASE ADAPTER (QUICK CONNECT)"/>
    <s v="101325"/>
    <s v="SLP"/>
    <s v="MM"/>
    <n v="5"/>
    <n v="2030"/>
  </r>
  <r>
    <x v="16"/>
    <d v="2004-02-20T00:00:00"/>
    <s v="IBM CPU TOWER A40"/>
    <s v="101307"/>
    <s v="SLP"/>
    <s v="MM"/>
    <n v="5"/>
    <n v="812.7"/>
  </r>
  <r>
    <x v="12"/>
    <d v="2004-02-20T00:00:00"/>
    <s v="IBM THINKVISION MONITOR T860"/>
    <s v="101308"/>
    <s v="SLP"/>
    <s v="MM"/>
    <n v="5"/>
    <n v="0"/>
  </r>
  <r>
    <x v="12"/>
    <d v="2004-02-20T00:00:00"/>
    <s v="FAIRMOUNT HYD CRIMPING TOOL 12 TON"/>
    <s v="101318"/>
    <s v="SLP"/>
    <s v="MM"/>
    <n v="5"/>
    <n v="1693.35"/>
  </r>
  <r>
    <x v="12"/>
    <d v="2004-03-19T00:00:00"/>
    <s v="FAIRMONT IMPACT WRENCH F-10 H8508"/>
    <s v="101320"/>
    <s v="SLP"/>
    <s v="MM"/>
    <n v="5"/>
    <n v="0"/>
  </r>
  <r>
    <x v="12"/>
    <d v="2004-03-19T00:00:00"/>
    <s v="GASOLINE DRIVEN POWER HOIST W/CLAMPS"/>
    <s v="101394"/>
    <s v="SLP"/>
    <s v="MM"/>
    <n v="5"/>
    <n v="1790.05"/>
  </r>
  <r>
    <x v="19"/>
    <d v="2004-04-02T00:00:00"/>
    <s v="AUTOCAD 2004 LICENSE - NEW STANDALONE 4 EA"/>
    <s v="D101547"/>
    <s v="SLP"/>
    <s v="MM"/>
    <n v="5"/>
    <n v="13410.75"/>
  </r>
  <r>
    <x v="12"/>
    <d v="2004-04-02T00:00:00"/>
    <s v="12'  DUMP TRAILER W/SPARE WHEEL &amp; TIRE"/>
    <s v="1393"/>
    <s v="SLP"/>
    <s v="MM"/>
    <n v="5"/>
    <n v="4769"/>
  </r>
  <r>
    <x v="16"/>
    <d v="2004-04-16T00:00:00"/>
    <s v="ELECTRIC HOIST W/ TROLLEY  1/2 TON"/>
    <s v="101302"/>
    <s v="SLP"/>
    <s v="MM"/>
    <n v="5"/>
    <n v="1488.24"/>
  </r>
  <r>
    <x v="16"/>
    <d v="2004-04-16T00:00:00"/>
    <s v="ELECTRIC HOIST W/ TROLLEY  1/2 TON"/>
    <s v="101303"/>
    <s v="SLP"/>
    <s v="MM"/>
    <n v="5"/>
    <n v="1488.24"/>
  </r>
  <r>
    <x v="6"/>
    <d v="2004-04-30T00:00:00"/>
    <s v="SPECIAL LIGHTING  2004"/>
    <s v="SL4010047"/>
    <s v="SLP"/>
    <s v="MM"/>
    <n v="30"/>
    <n v="66655.990000000005"/>
  </r>
  <r>
    <x v="11"/>
    <d v="2004-04-30T00:00:00"/>
    <s v="LIGHT METERS 2004"/>
    <s v="LM4010044"/>
    <s v="SLP"/>
    <s v="MM"/>
    <n v="25"/>
    <n v="36114.449999999997"/>
  </r>
  <r>
    <x v="8"/>
    <d v="2004-04-30T00:00:00"/>
    <s v="SYSTEM ADDITIONS 2004"/>
    <s v="LDS401080"/>
    <s v="SLP"/>
    <s v="MM"/>
    <n v="30"/>
    <n v="286417.2"/>
  </r>
  <r>
    <x v="7"/>
    <d v="2004-04-30T00:00:00"/>
    <s v="TRANSFORMERS 2004"/>
    <s v="TR4010054"/>
    <s v="SLP"/>
    <s v="MM"/>
    <n v="30"/>
    <n v="311494.28000000003"/>
  </r>
  <r>
    <x v="12"/>
    <d v="2004-04-30T00:00:00"/>
    <s v="SELF PROP LAWN MOWER 626SP"/>
    <s v="1395"/>
    <s v="SLP"/>
    <s v="MM"/>
    <n v="5"/>
    <n v="749.99"/>
  </r>
  <r>
    <x v="12"/>
    <d v="2004-04-30T00:00:00"/>
    <s v="HP OFFICEJET  7130 ALL IN ONE PRINTER"/>
    <s v="101309"/>
    <s v="SLP"/>
    <s v="MM"/>
    <n v="5"/>
    <n v="0"/>
  </r>
  <r>
    <x v="12"/>
    <d v="2004-04-30T00:00:00"/>
    <s v="IBM THINKVISON L170P MONITOR"/>
    <s v="101311"/>
    <s v="SLP"/>
    <s v="MM"/>
    <n v="5"/>
    <n v="0"/>
  </r>
  <r>
    <x v="16"/>
    <d v="2004-04-30T00:00:00"/>
    <s v="IBM PCI TOWER A50"/>
    <s v="101312"/>
    <s v="SLP"/>
    <s v="MM"/>
    <n v="5"/>
    <n v="1209.32"/>
  </r>
  <r>
    <x v="12"/>
    <d v="2004-04-30T00:00:00"/>
    <s v="IBM INTELL CPU TP T40P"/>
    <s v="101324"/>
    <s v="SLP"/>
    <s v="MM"/>
    <n v="5"/>
    <n v="3308.32"/>
  </r>
  <r>
    <x v="12"/>
    <d v="2004-08-20T00:00:00"/>
    <s v="FAIRMOUNT HYDRAULIC IMPACT WRENCH"/>
    <s v="102375"/>
    <s v="SLP"/>
    <s v="MM"/>
    <n v="5"/>
    <n v="778"/>
  </r>
  <r>
    <x v="12"/>
    <d v="2004-09-03T00:00:00"/>
    <s v="HPCOMPAQ TABLET PC TC1100"/>
    <s v="101490"/>
    <s v="SLP"/>
    <s v="MM"/>
    <n v="5"/>
    <n v="1765"/>
  </r>
  <r>
    <x v="12"/>
    <d v="2004-09-03T00:00:00"/>
    <s v="IBM INTELLSTATION M PRO CPU"/>
    <s v="101642"/>
    <s v="SLP"/>
    <s v="MM"/>
    <n v="5"/>
    <n v="2957.12"/>
  </r>
  <r>
    <x v="12"/>
    <d v="2004-09-03T00:00:00"/>
    <s v="IBM THINKVISION L200P MONITOR"/>
    <s v="101646"/>
    <s v="SLP"/>
    <s v="MM"/>
    <n v="5"/>
    <n v="949.52"/>
  </r>
  <r>
    <x v="12"/>
    <d v="2004-09-03T00:00:00"/>
    <s v="IBM THINKVISION MONITOR L180P"/>
    <s v="101647"/>
    <s v="SLP"/>
    <s v="MM"/>
    <n v="5"/>
    <n v="0"/>
  </r>
  <r>
    <x v="12"/>
    <d v="2004-09-03T00:00:00"/>
    <s v="IBM THINKVISION L200P MONITOR"/>
    <s v="101648"/>
    <s v="SLP"/>
    <s v="MM"/>
    <n v="5"/>
    <n v="949.52"/>
  </r>
  <r>
    <x v="12"/>
    <d v="2004-09-03T00:00:00"/>
    <s v="IBM THINKCENTER M50 CPU"/>
    <s v="102374"/>
    <s v="SLP"/>
    <s v="MM"/>
    <n v="5"/>
    <n v="1337"/>
  </r>
  <r>
    <x v="14"/>
    <d v="2004-09-17T00:00:00"/>
    <s v="2005 INTERNATIONAL 4300 CAB &amp; CHASSIS"/>
    <s v="V1442"/>
    <s v="SLP"/>
    <s v="MM"/>
    <n v="5"/>
    <n v="44639.47"/>
  </r>
  <r>
    <x v="16"/>
    <d v="2004-10-01T00:00:00"/>
    <s v="IBM THINKVISION MONITOR L190P"/>
    <s v="101706"/>
    <s v="SLP"/>
    <s v="MM"/>
    <n v="5"/>
    <n v="0"/>
  </r>
  <r>
    <x v="16"/>
    <d v="2004-10-01T00:00:00"/>
    <s v="IBM THINKVISION MONITOR L190P"/>
    <s v="101707"/>
    <s v="SLP"/>
    <s v="MM"/>
    <n v="5"/>
    <n v="0"/>
  </r>
  <r>
    <x v="16"/>
    <d v="2004-10-01T00:00:00"/>
    <s v="IBM THINKVISION MONITOR L190P"/>
    <s v="101709"/>
    <s v="SLP"/>
    <s v="MM"/>
    <n v="5"/>
    <n v="0"/>
  </r>
  <r>
    <x v="16"/>
    <d v="2004-10-01T00:00:00"/>
    <s v="IBM THINKVISION MONITOR L190P"/>
    <s v="101710"/>
    <s v="SLP"/>
    <s v="MM"/>
    <n v="5"/>
    <n v="0"/>
  </r>
  <r>
    <x v="16"/>
    <d v="2004-10-01T00:00:00"/>
    <s v="IBM THINKCENTER M50"/>
    <s v="101713"/>
    <s v="SLP"/>
    <s v="MM"/>
    <n v="5"/>
    <n v="1385"/>
  </r>
  <r>
    <x v="12"/>
    <d v="2004-10-29T00:00:00"/>
    <s v="DUCT PR0OFING TOOL 71130-SRS w/ DUCT ROD"/>
    <s v="102243"/>
    <s v="SLP"/>
    <s v="MM"/>
    <n v="5"/>
    <n v="1968.6"/>
  </r>
  <r>
    <x v="19"/>
    <d v="2004-12-10T00:00:00"/>
    <s v="FAT - SOFTWARE ENHANCEMENTS"/>
    <s v="D102761"/>
    <s v="SLP"/>
    <s v="MM"/>
    <n v="5"/>
    <n v="7600"/>
  </r>
  <r>
    <x v="12"/>
    <d v="2004-12-23T00:00:00"/>
    <s v="FAIRMOUNT HYDRAULIC TAMPER 72&quot;"/>
    <s v="102245"/>
    <s v="SLP"/>
    <s v="MM"/>
    <n v="5"/>
    <n v="1423.5"/>
  </r>
  <r>
    <x v="12"/>
    <d v="2005-01-07T00:00:00"/>
    <s v="RMF BLACK LEATHER CHAIR"/>
    <s v="102225"/>
    <s v="SLP"/>
    <s v="MM"/>
    <n v="5"/>
    <n v="750"/>
  </r>
  <r>
    <x v="14"/>
    <d v="2005-01-21T00:00:00"/>
    <s v="HYDRAULIC REEL TRAILER - SLABACH"/>
    <s v="5080"/>
    <s v="SLP"/>
    <s v="MM"/>
    <n v="5"/>
    <n v="6995"/>
  </r>
  <r>
    <x v="16"/>
    <d v="2005-03-04T00:00:00"/>
    <s v="SARIO 24&quot; MOWER 624SPSW CLASSIC"/>
    <s v="102221"/>
    <s v="SLP"/>
    <s v="MM"/>
    <n v="5"/>
    <n v="0"/>
  </r>
  <r>
    <x v="14"/>
    <d v="2005-03-18T00:00:00"/>
    <s v="2005 FORD TRUCK F150 EXTENDED CAB"/>
    <s v="V1430"/>
    <s v="SLP"/>
    <s v="MM"/>
    <n v="5"/>
    <n v="15104.5"/>
  </r>
  <r>
    <x v="12"/>
    <d v="2005-04-01T00:00:00"/>
    <s v="CHAINSAW MS880M 36&quot; SAW"/>
    <s v="102230"/>
    <s v="SLP"/>
    <s v="MM"/>
    <n v="5"/>
    <n v="1231.95"/>
  </r>
  <r>
    <x v="12"/>
    <d v="2005-04-15T00:00:00"/>
    <s v="PRINT CONTROLLER MIPS R4700 PROCESSOR"/>
    <s v="102229"/>
    <s v="SLP"/>
    <s v="MM"/>
    <n v="5"/>
    <n v="2500"/>
  </r>
  <r>
    <x v="12"/>
    <d v="2005-04-15T00:00:00"/>
    <s v="F10 BATTERY CRIMPING TOOL EK1240 W/CHARGER"/>
    <s v="102244"/>
    <s v="SLP"/>
    <s v="MM"/>
    <n v="5"/>
    <n v="2477.71"/>
  </r>
  <r>
    <x v="12"/>
    <d v="2005-04-29T00:00:00"/>
    <s v="IBM THINKVISION L200P MONITOR"/>
    <s v="102223"/>
    <s v="SLP"/>
    <s v="MM"/>
    <n v="5"/>
    <n v="884.78"/>
  </r>
  <r>
    <x v="12"/>
    <d v="2005-04-29T00:00:00"/>
    <s v="IBM FLAT CONSOLE KIT W/KEYBOARD L170P MONTIOR"/>
    <s v="102227"/>
    <s v="SLP"/>
    <s v="MM"/>
    <n v="5"/>
    <n v="1350"/>
  </r>
  <r>
    <x v="12"/>
    <d v="2005-04-29T00:00:00"/>
    <s v="HANDS-FREE WIRE LUBRICATING SYSTEM"/>
    <s v="102228"/>
    <s v="SLP"/>
    <s v="MM"/>
    <n v="5"/>
    <n v="3100"/>
  </r>
  <r>
    <x v="0"/>
    <d v="2005-04-30T00:00:00"/>
    <s v="Power Plant FY 2005 - CIP"/>
    <s v="PP4010024"/>
    <s v="SLP"/>
    <s v="MM"/>
    <n v="20"/>
    <n v="951192.03"/>
  </r>
  <r>
    <x v="6"/>
    <d v="2005-04-30T00:00:00"/>
    <s v="SPECIAL LIGHTING 2005"/>
    <s v="SL4010048"/>
    <s v="SLP"/>
    <s v="MM"/>
    <n v="30"/>
    <n v="123077.16"/>
  </r>
  <r>
    <x v="8"/>
    <d v="2005-04-30T00:00:00"/>
    <s v="SYSTEM ADDITIONS 2005"/>
    <s v="LDS401081"/>
    <s v="SLP"/>
    <s v="MM"/>
    <n v="30"/>
    <n v="255714.89"/>
  </r>
  <r>
    <x v="7"/>
    <d v="2005-04-30T00:00:00"/>
    <s v="TRANSFORMERS 2005"/>
    <s v="TR4010055"/>
    <s v="SLP"/>
    <s v="MM"/>
    <n v="30"/>
    <n v="262823.26"/>
  </r>
  <r>
    <x v="14"/>
    <d v="2005-06-24T00:00:00"/>
    <s v="ALTEC AERIAL FINAL ASSEMBLY BUCKET AA755-MH"/>
    <s v="V1442A"/>
    <s v="SLP"/>
    <s v="MM"/>
    <n v="5"/>
    <n v="61831"/>
  </r>
  <r>
    <x v="14"/>
    <d v="2005-07-22T00:00:00"/>
    <s v="2005 FORD TRUCK F150 EXTENDED CAB"/>
    <s v="V1453"/>
    <s v="SLP"/>
    <s v="MM"/>
    <n v="5"/>
    <n v="14452.5"/>
  </r>
  <r>
    <x v="11"/>
    <d v="2005-07-30T00:00:00"/>
    <s v="LIGHT METERS 2005"/>
    <s v="LM4010045"/>
    <s v="SLP"/>
    <s v="MM"/>
    <n v="25"/>
    <n v="53391.17"/>
  </r>
  <r>
    <x v="12"/>
    <d v="2005-08-05T00:00:00"/>
    <s v="APC NETSHELTER VX25U ENCLOSURE"/>
    <s v="102855"/>
    <s v="SLP"/>
    <s v="MM"/>
    <n v="5"/>
    <n v="1074.07"/>
  </r>
  <r>
    <x v="21"/>
    <d v="2005-10-14T00:00:00"/>
    <s v="2006 FORD TRUCK F250"/>
    <s v="V1469"/>
    <s v="SLP"/>
    <s v="MM"/>
    <n v="5"/>
    <n v="19900.5"/>
  </r>
  <r>
    <x v="12"/>
    <d v="2005-11-23T00:00:00"/>
    <s v="EXCAVATION UNIT HYD BLOWER -VACTRAILER-PIPEHUNTER"/>
    <s v="1476"/>
    <s v="SLP"/>
    <s v="MM"/>
    <n v="5"/>
    <n v="40465"/>
  </r>
  <r>
    <x v="16"/>
    <d v="2006-01-06T00:00:00"/>
    <s v="FURNISH &amp; INSTALL BATTERY BANK SYSTEM"/>
    <s v="102853"/>
    <s v="SLP"/>
    <s v="MM"/>
    <n v="5"/>
    <n v="39137.5"/>
  </r>
  <r>
    <x v="16"/>
    <d v="2006-01-06T00:00:00"/>
    <s v="FURNISH &amp; INSTALL BATTERY BANK SYSTEM"/>
    <s v="102854"/>
    <s v="SLP"/>
    <s v="MM"/>
    <n v="5"/>
    <n v="39137.5"/>
  </r>
  <r>
    <x v="12"/>
    <d v="2006-03-31T00:00:00"/>
    <s v="2006 HD 16' PIPE UTILITY TRAILER  16EHDP7K"/>
    <s v="V1502"/>
    <s v="SLP"/>
    <s v="MM"/>
    <n v="5"/>
    <n v="3370"/>
  </r>
  <r>
    <x v="12"/>
    <d v="2006-04-13T00:00:00"/>
    <s v="HP COMPAQ DC7600 TOWER"/>
    <s v="102655"/>
    <s v="SLP"/>
    <s v="MM"/>
    <n v="5"/>
    <n v="0"/>
  </r>
  <r>
    <x v="12"/>
    <d v="2006-04-28T00:00:00"/>
    <s v=" HYDRAULIC TAMPERS  #14263"/>
    <s v="102856"/>
    <s v="SLP"/>
    <s v="MM"/>
    <n v="5"/>
    <n v="0"/>
  </r>
  <r>
    <x v="12"/>
    <d v="2006-04-28T00:00:00"/>
    <s v=" HYDRAULIC TAMPERS  #14263"/>
    <s v="102857"/>
    <s v="SLP"/>
    <s v="MM"/>
    <n v="5"/>
    <n v="0"/>
  </r>
  <r>
    <x v="12"/>
    <d v="2006-04-28T00:00:00"/>
    <s v="KYOCERA DIGITAL COPIER / PRINTER KM-5035"/>
    <s v="102858"/>
    <s v="SLP"/>
    <s v="MM"/>
    <n v="5"/>
    <n v="12646"/>
  </r>
  <r>
    <x v="16"/>
    <d v="2006-04-28T00:00:00"/>
    <s v="REMOVE &amp; REPLACE METAL ROOFING,SIDING,DOORS,WINDOW"/>
    <s v="D103214"/>
    <s v="SLP"/>
    <s v="MM"/>
    <n v="5"/>
    <n v="9700"/>
  </r>
  <r>
    <x v="0"/>
    <d v="2006-04-30T00:00:00"/>
    <s v="Power Plant FY 2006 - CIP"/>
    <s v="PP4010025"/>
    <s v="SLP"/>
    <s v="MM"/>
    <n v="20"/>
    <n v="102209"/>
  </r>
  <r>
    <x v="6"/>
    <d v="2006-04-30T00:00:00"/>
    <s v="SPECIAL LIGHTING 2006"/>
    <s v="SL4010049"/>
    <s v="SLP"/>
    <s v="MM"/>
    <n v="30"/>
    <n v="92586.66"/>
  </r>
  <r>
    <x v="11"/>
    <d v="2006-04-30T00:00:00"/>
    <s v="LIGHT METERS 2006"/>
    <s v="LM4010046"/>
    <s v="SLP"/>
    <s v="MM"/>
    <n v="25"/>
    <n v="36477.440000000002"/>
  </r>
  <r>
    <x v="8"/>
    <d v="2006-04-30T00:00:00"/>
    <s v="SYSTEM ADDITIONS 2006"/>
    <s v="LDS401082"/>
    <s v="SLP"/>
    <s v="MM"/>
    <n v="30"/>
    <n v="293724.68"/>
  </r>
  <r>
    <x v="8"/>
    <d v="2006-04-30T00:00:00"/>
    <s v="SYSTEM ADDITONS 2006 - CIP"/>
    <s v="LDS401083"/>
    <s v="SLP"/>
    <s v="MM"/>
    <n v="30"/>
    <n v="301827.87"/>
  </r>
  <r>
    <x v="8"/>
    <d v="2006-04-30T00:00:00"/>
    <s v="SYSTEM ADDITONS 2006 - CIP"/>
    <s v="LDS401084"/>
    <s v="SLP"/>
    <s v="MM"/>
    <n v="30"/>
    <n v="538029.94999999995"/>
  </r>
  <r>
    <x v="7"/>
    <d v="2006-04-30T00:00:00"/>
    <s v="TRANSFORMERS 2006"/>
    <s v="TR4010056"/>
    <s v="SLP"/>
    <s v="MM"/>
    <n v="30"/>
    <n v="286468.34999999998"/>
  </r>
  <r>
    <x v="12"/>
    <d v="2006-08-04T00:00:00"/>
    <s v="6000 WATT DIESEL GENERATOR - STORM SUPPLY TRAILER"/>
    <s v="103361"/>
    <s v="SLP"/>
    <s v="MM"/>
    <n v="5"/>
    <n v="3909.63"/>
  </r>
  <r>
    <x v="12"/>
    <d v="2006-08-18T00:00:00"/>
    <s v="2006 KOMATSU MINI EXCAVATOR, 12&quot; BUCKET"/>
    <s v="1522"/>
    <s v="SLP"/>
    <s v="MM"/>
    <n v="5"/>
    <n v="25748.04"/>
  </r>
  <r>
    <x v="12"/>
    <d v="2006-09-29T00:00:00"/>
    <s v="THERMO KING ENCLOSED TRAILER 8X48"/>
    <s v="1527"/>
    <s v="SLP"/>
    <s v="MM"/>
    <n v="5"/>
    <n v="7000"/>
  </r>
  <r>
    <x v="12"/>
    <d v="2006-10-13T00:00:00"/>
    <s v="HP COMPAQ dc7600 CMT BASE UNIT"/>
    <s v="103039"/>
    <s v="SLP"/>
    <s v="MM"/>
    <n v="5"/>
    <n v="0"/>
  </r>
  <r>
    <x v="12"/>
    <d v="2006-10-13T00:00:00"/>
    <s v="HP COMPAQ L1906 LCD MONITOR"/>
    <s v="103040"/>
    <s v="SLP"/>
    <s v="MM"/>
    <n v="5"/>
    <n v="0"/>
  </r>
  <r>
    <x v="12"/>
    <d v="2006-10-13T00:00:00"/>
    <s v="HP COMPAQ dc7600 CMT BASE UNIT"/>
    <s v="103041"/>
    <s v="SLP"/>
    <s v="MM"/>
    <n v="5"/>
    <n v="0"/>
  </r>
  <r>
    <x v="12"/>
    <d v="2006-10-13T00:00:00"/>
    <s v="HP COMPAQ L1906 LCD MONITOR"/>
    <s v="103042"/>
    <s v="SLP"/>
    <s v="MM"/>
    <n v="5"/>
    <n v="0"/>
  </r>
  <r>
    <x v="16"/>
    <d v="2006-10-27T00:00:00"/>
    <s v="LINCOLN PRO-CUT 80 PLASMA CUTTER K1581-2"/>
    <s v="103368"/>
    <s v="SLP"/>
    <s v="MM"/>
    <n v="5"/>
    <n v="3399.64"/>
  </r>
  <r>
    <x v="12"/>
    <d v="2006-12-08T00:00:00"/>
    <s v="OLEVIA 27&quot; LCD MONITOR"/>
    <s v="103352"/>
    <s v="SLP"/>
    <s v="MM"/>
    <n v="5"/>
    <n v="0"/>
  </r>
  <r>
    <x v="14"/>
    <d v="2007-01-05T00:00:00"/>
    <s v="2007 INTERNATIONAL 4300 BUCKET TRUCK /ALTEC L37M"/>
    <s v="V1546"/>
    <s v="SLP"/>
    <s v="MM"/>
    <n v="5"/>
    <n v="98000"/>
  </r>
  <r>
    <x v="14"/>
    <d v="2007-01-05T00:00:00"/>
    <s v="2007 FORD DIESEL TRUCK F250"/>
    <s v="V1554"/>
    <s v="SLP"/>
    <s v="MM"/>
    <n v="5"/>
    <n v="19900.5"/>
  </r>
  <r>
    <x v="14"/>
    <d v="2007-01-05T00:00:00"/>
    <s v="2007 FORD DIESEL TRUCK F250"/>
    <s v="V1555"/>
    <s v="SLP"/>
    <s v="MM"/>
    <n v="5"/>
    <n v="19900.5"/>
  </r>
  <r>
    <x v="14"/>
    <d v="2007-02-16T00:00:00"/>
    <s v="2007 INTERNATIONAL 4300 BUCKET  W/DM-47 DIGGER"/>
    <s v="V1528"/>
    <s v="SLP"/>
    <s v="MM"/>
    <n v="5"/>
    <n v="133895"/>
  </r>
  <r>
    <x v="12"/>
    <d v="2007-02-16T00:00:00"/>
    <s v="LSP 28300 G700 TELEPHONE EQUIP - MEDIA GATEWAY"/>
    <s v="103364"/>
    <s v="SLP"/>
    <s v="MM"/>
    <n v="5"/>
    <n v="29997.8"/>
  </r>
  <r>
    <x v="12"/>
    <d v="2007-03-16T00:00:00"/>
    <s v="HP OFFICEJET ALL-IN-ONE 7310 PRINTER"/>
    <s v="103354"/>
    <s v="SLP"/>
    <s v="MM"/>
    <n v="5"/>
    <n v="0"/>
  </r>
  <r>
    <x v="12"/>
    <d v="2007-03-16T00:00:00"/>
    <s v="HP DESKJET  6940  PRINTER"/>
    <s v="103359"/>
    <s v="SLP"/>
    <s v="MM"/>
    <n v="5"/>
    <n v="0"/>
  </r>
  <r>
    <x v="12"/>
    <d v="2007-03-16T00:00:00"/>
    <s v="HARDWARE,TELEPHONY BOARD,CALLER ID BOX"/>
    <s v="103366"/>
    <s v="SLP"/>
    <s v="MM"/>
    <n v="5"/>
    <n v="10830.97"/>
  </r>
  <r>
    <x v="12"/>
    <d v="2007-03-16T00:00:00"/>
    <s v="HP OFFICEJET ALL-IN-ONE 7310 PRINTER"/>
    <s v="103369"/>
    <s v="SLP"/>
    <s v="MM"/>
    <n v="5"/>
    <n v="0"/>
  </r>
  <r>
    <x v="12"/>
    <d v="2007-03-30T00:00:00"/>
    <s v="LODESTAR ELECTRIC CHAIN HOIST - 2000 LB"/>
    <s v="D103453"/>
    <s v="SLP"/>
    <s v="MM"/>
    <n v="5"/>
    <n v="2273.7800000000002"/>
  </r>
  <r>
    <x v="12"/>
    <d v="2007-04-13T00:00:00"/>
    <s v="RIGID ST-510 TRANSMITTER"/>
    <s v="103362"/>
    <s v="SLP"/>
    <s v="MM"/>
    <n v="5"/>
    <n v="1685"/>
  </r>
  <r>
    <x v="12"/>
    <d v="2007-04-13T00:00:00"/>
    <s v="RIGID SEEK TECH SR-20 LOCATOR"/>
    <s v="103363"/>
    <s v="SLP"/>
    <s v="MM"/>
    <n v="5"/>
    <n v="2340"/>
  </r>
  <r>
    <x v="19"/>
    <d v="2007-04-27T00:00:00"/>
    <s v="FIELD DESIGNER PACKAGE SOFTWARE"/>
    <s v="D103454"/>
    <s v="SLP"/>
    <s v="MM"/>
    <n v="5"/>
    <n v="25650"/>
  </r>
  <r>
    <x v="12"/>
    <d v="2007-04-27T00:00:00"/>
    <s v="PANASONIC TOUGHBOOK 19 CU2400"/>
    <s v="103351"/>
    <s v="SLP"/>
    <s v="MM"/>
    <n v="5"/>
    <n v="4316"/>
  </r>
  <r>
    <x v="12"/>
    <d v="2007-04-27T00:00:00"/>
    <s v="PANASONIC TOUGHBOOK 30 CT2300"/>
    <s v="103353"/>
    <s v="SLP"/>
    <s v="MM"/>
    <n v="5"/>
    <n v="4209.5"/>
  </r>
  <r>
    <x v="12"/>
    <d v="2007-04-27T00:00:00"/>
    <s v="HP COMPAQ XW4400 WORKSTATION"/>
    <s v="103358"/>
    <s v="SLP"/>
    <s v="MM"/>
    <n v="5"/>
    <n v="2669"/>
  </r>
  <r>
    <x v="12"/>
    <d v="2007-04-27T00:00:00"/>
    <s v="EAGLE 120 PLUG-IN POWER MONITOR &amp; MEMORY UPGRADE"/>
    <s v="103360"/>
    <s v="SLP"/>
    <s v="MM"/>
    <n v="5"/>
    <n v="0"/>
  </r>
  <r>
    <x v="16"/>
    <d v="2007-04-27T00:00:00"/>
    <s v="GOODWAY 13 HP WASHER  2500"/>
    <s v="103370"/>
    <s v="SLP"/>
    <s v="MM"/>
    <n v="5"/>
    <n v="2753"/>
  </r>
  <r>
    <x v="0"/>
    <d v="2007-04-30T00:00:00"/>
    <s v="Power Plant FY 2007 - CIP"/>
    <s v="PP4010026"/>
    <s v="SLP"/>
    <s v="MM"/>
    <n v="20"/>
    <n v="45511.5"/>
  </r>
  <r>
    <x v="6"/>
    <d v="2007-04-30T00:00:00"/>
    <s v="SPECIAL LIGHTING 2007"/>
    <s v="SL4010050"/>
    <s v="SLP"/>
    <s v="MM"/>
    <n v="30"/>
    <n v="131984.06"/>
  </r>
  <r>
    <x v="11"/>
    <d v="2007-04-30T00:00:00"/>
    <s v="LIGHT METERS 2007"/>
    <s v="LM4010047"/>
    <s v="SLP"/>
    <s v="MM"/>
    <n v="25"/>
    <n v="42021.8"/>
  </r>
  <r>
    <x v="8"/>
    <d v="2007-04-30T00:00:00"/>
    <s v="SYSTEM ADDITIONS 2007"/>
    <s v="LDS401085"/>
    <s v="SLP"/>
    <s v="MM"/>
    <n v="30"/>
    <n v="305222.94"/>
  </r>
  <r>
    <x v="8"/>
    <d v="2007-04-30T00:00:00"/>
    <s v="SYSTEM ADDITIONS 2007 - CIP"/>
    <s v="LDS401086"/>
    <s v="SLP"/>
    <s v="MM"/>
    <n v="30"/>
    <n v="1539642.71"/>
  </r>
  <r>
    <x v="7"/>
    <d v="2007-04-30T00:00:00"/>
    <s v="TRANSFORMERS 2007"/>
    <s v="TR4010057"/>
    <s v="SLP"/>
    <s v="MM"/>
    <n v="30"/>
    <n v="553018.19999999995"/>
  </r>
  <r>
    <x v="16"/>
    <d v="2007-06-22T00:00:00"/>
    <s v="KURT VISE MILLING MACHINE D-810"/>
    <s v="103480"/>
    <s v="SLP"/>
    <s v="MM"/>
    <n v="5"/>
    <n v="1582"/>
  </r>
  <r>
    <x v="14"/>
    <d v="2007-08-31T00:00:00"/>
    <s v="2007 FREIGTHLINER  55' AERIAL LIFT DEVICE BUCKET"/>
    <s v="V1592"/>
    <s v="SLP"/>
    <s v="MM"/>
    <n v="5"/>
    <n v="119199"/>
  </r>
  <r>
    <x v="16"/>
    <d v="2007-09-28T00:00:00"/>
    <s v="HP MINI TOWER DC7700 CONVERTABLE"/>
    <s v="103478"/>
    <s v="SLP"/>
    <s v="MM"/>
    <n v="5"/>
    <n v="0"/>
  </r>
  <r>
    <x v="16"/>
    <d v="2007-11-09T00:00:00"/>
    <s v="JET ZX LATHE 10HP 230V 3P  22X80"/>
    <s v="103479"/>
    <s v="SLP"/>
    <s v="MM"/>
    <n v="5"/>
    <n v="16619.72"/>
  </r>
  <r>
    <x v="21"/>
    <d v="2008-01-18T00:00:00"/>
    <s v="2008 FORD TRUCK F150"/>
    <s v="V1633"/>
    <s v="SLP"/>
    <s v="MM"/>
    <n v="5"/>
    <n v="21030.5"/>
  </r>
  <r>
    <x v="14"/>
    <d v="2008-02-01T00:00:00"/>
    <s v="2008 FORD TRUCK F250"/>
    <s v="V1636"/>
    <s v="SLP"/>
    <s v="MM"/>
    <n v="5"/>
    <n v="25710.5"/>
  </r>
  <r>
    <x v="12"/>
    <d v="2008-02-01T00:00:00"/>
    <s v="BILLY GOAT MULTI-VAC OUTDOOR VACUUM"/>
    <s v="1627"/>
    <s v="SLP"/>
    <s v="MM"/>
    <n v="5"/>
    <n v="2148.15"/>
  </r>
  <r>
    <x v="12"/>
    <d v="2008-02-01T00:00:00"/>
    <s v="PATRIOT - CRIMPER 18 V  - CRIMPING TOOL"/>
    <s v="103482"/>
    <s v="SLP"/>
    <s v="MM"/>
    <n v="5"/>
    <n v="3235"/>
  </r>
  <r>
    <x v="16"/>
    <d v="2008-02-01T00:00:00"/>
    <s v="MILLER BOBCAT 250 WELDING MACHINE"/>
    <s v="1632"/>
    <s v="SLP"/>
    <s v="MM"/>
    <n v="5"/>
    <n v="3100"/>
  </r>
  <r>
    <x v="12"/>
    <d v="2008-02-14T00:00:00"/>
    <s v="FURNISH &amp; INSTALL GAS FURNANCE"/>
    <s v="D103862"/>
    <s v="SLP"/>
    <s v="MM"/>
    <n v="5"/>
    <n v="4350"/>
  </r>
  <r>
    <x v="12"/>
    <d v="2008-02-14T00:00:00"/>
    <s v="FURNISH &amp; INSTALL GAS FURNANCE"/>
    <s v="D103863"/>
    <s v="SLP"/>
    <s v="MM"/>
    <n v="5"/>
    <n v="3895.14"/>
  </r>
  <r>
    <x v="12"/>
    <d v="2008-02-29T00:00:00"/>
    <s v="IRIDIUM SATELLITE PHONE 9505A"/>
    <s v="102713"/>
    <s v="SLP"/>
    <s v="MM"/>
    <n v="5"/>
    <n v="2052.38"/>
  </r>
  <r>
    <x v="16"/>
    <d v="2008-02-29T00:00:00"/>
    <s v="IRIDIUM SATELLITE PHONE 9505A"/>
    <s v="102714"/>
    <s v="SLP"/>
    <s v="MM"/>
    <n v="5"/>
    <n v="2052.38"/>
  </r>
  <r>
    <x v="12"/>
    <d v="2008-03-14T00:00:00"/>
    <s v="HP DC7800 DESKTOP"/>
    <s v="103485"/>
    <s v="SLP"/>
    <s v="MM"/>
    <n v="5"/>
    <n v="0"/>
  </r>
  <r>
    <x v="14"/>
    <d v="2008-04-25T00:00:00"/>
    <s v="2008  FORD TRUCK F250"/>
    <s v="V1650"/>
    <s v="SLP"/>
    <s v="MM"/>
    <n v="5"/>
    <n v="32653.5"/>
  </r>
  <r>
    <x v="12"/>
    <d v="2008-04-25T00:00:00"/>
    <s v="HP COMPAQ 2710P NOTEBOOK PC"/>
    <s v="103594"/>
    <s v="SLP"/>
    <s v="MM"/>
    <n v="5"/>
    <n v="1718"/>
  </r>
  <r>
    <x v="12"/>
    <d v="2008-04-25T00:00:00"/>
    <s v="HP COMPAQ 2710P NOTEBOOK PC"/>
    <s v="103595"/>
    <s v="SLP"/>
    <s v="MM"/>
    <n v="5"/>
    <n v="1718"/>
  </r>
  <r>
    <x v="0"/>
    <d v="2008-04-30T00:00:00"/>
    <s v="Power Plant FY 2008 - CIP"/>
    <s v="PP4010027"/>
    <s v="SLP"/>
    <s v="MM"/>
    <n v="20"/>
    <n v="30760"/>
  </r>
  <r>
    <x v="6"/>
    <d v="2008-04-30T00:00:00"/>
    <s v="SPECIAL LIGHTING 2008"/>
    <s v="SL4010051"/>
    <s v="SLP"/>
    <s v="MM"/>
    <n v="30"/>
    <n v="80359.490000000005"/>
  </r>
  <r>
    <x v="6"/>
    <d v="2008-04-30T00:00:00"/>
    <s v="SPECIAL LIGHTING 2008 - CAP PROJ"/>
    <s v="SL4010051"/>
    <s v="SLP"/>
    <s v="MM"/>
    <n v="30"/>
    <n v="10464"/>
  </r>
  <r>
    <x v="11"/>
    <d v="2008-04-30T00:00:00"/>
    <s v="LIGHT METERS 2008"/>
    <s v="LM4010048"/>
    <s v="SLP"/>
    <s v="MM"/>
    <n v="25"/>
    <n v="43892.37"/>
  </r>
  <r>
    <x v="8"/>
    <d v="2008-04-30T00:00:00"/>
    <s v="SYSTEM ADDITIONS 2008"/>
    <s v="LDS401087"/>
    <s v="SLP"/>
    <s v="MM"/>
    <n v="30"/>
    <n v="399619.98"/>
  </r>
  <r>
    <x v="8"/>
    <d v="2008-04-30T00:00:00"/>
    <s v="SYSTEM ADDITIONS 2008-CAP PROJ"/>
    <s v="LDS401087A"/>
    <s v="SLP"/>
    <s v="MM"/>
    <n v="30"/>
    <n v="181089.93"/>
  </r>
  <r>
    <x v="8"/>
    <d v="2008-04-30T00:00:00"/>
    <s v="SYSTEM ADDITIONS 2008-CAP PROJ"/>
    <s v="LDS401087B"/>
    <s v="SLP"/>
    <s v="MM"/>
    <n v="30"/>
    <n v="638408.68000000005"/>
  </r>
  <r>
    <x v="7"/>
    <d v="2008-04-30T00:00:00"/>
    <s v="TRANSFORMERS 2008"/>
    <s v="TR4010058"/>
    <s v="SLP"/>
    <s v="MM"/>
    <n v="30"/>
    <n v="839446.17"/>
  </r>
  <r>
    <x v="12"/>
    <d v="2008-04-30T00:00:00"/>
    <s v="5X14 SWG UTILITY TRAILER - SINGLE AXLE"/>
    <s v="1652"/>
    <s v="SLP"/>
    <s v="MM"/>
    <n v="5"/>
    <n v="0"/>
  </r>
  <r>
    <x v="12"/>
    <d v="2008-04-30T00:00:00"/>
    <s v="BURNDYS PATRIOT - CRIMPING TOOL 18V"/>
    <s v="103483"/>
    <s v="SLP"/>
    <s v="MM"/>
    <n v="5"/>
    <n v="2460"/>
  </r>
  <r>
    <x v="16"/>
    <d v="2008-05-23T00:00:00"/>
    <s v="HP L2465 LCD MONITOR"/>
    <s v="103475"/>
    <s v="SLP"/>
    <s v="MM"/>
    <n v="5"/>
    <n v="0"/>
  </r>
  <r>
    <x v="16"/>
    <d v="2008-05-23T00:00:00"/>
    <s v="HP L2465 LCD MONITOR"/>
    <s v="103477"/>
    <s v="SLP"/>
    <s v="MM"/>
    <n v="5"/>
    <n v="0"/>
  </r>
  <r>
    <x v="8"/>
    <d v="2008-05-28T00:00:00"/>
    <s v="SYSTEM ADDITIONS 2009"/>
    <s v="LDS401088"/>
    <s v="SLP"/>
    <s v="MM"/>
    <n v="30"/>
    <n v="252043.38"/>
  </r>
  <r>
    <x v="12"/>
    <d v="2008-06-20T00:00:00"/>
    <s v="METAL BUILDING SHED"/>
    <s v="104008"/>
    <s v="SLP"/>
    <s v="MM"/>
    <n v="5"/>
    <n v="65990"/>
  </r>
  <r>
    <x v="12"/>
    <d v="2008-07-18T00:00:00"/>
    <s v="HP COMPAQ WORKSTATION XW6600"/>
    <s v="103484"/>
    <s v="SLP"/>
    <s v="MM"/>
    <n v="5"/>
    <n v="0"/>
  </r>
  <r>
    <x v="14"/>
    <d v="2008-08-01T00:00:00"/>
    <s v="2008 INTERNATIONAL 4300  55' BUCKET TRUCK"/>
    <s v="V1657"/>
    <s v="SLP"/>
    <s v="MM"/>
    <n v="5"/>
    <n v="133241"/>
  </r>
  <r>
    <x v="14"/>
    <d v="2008-08-01T00:00:00"/>
    <s v="2008 FORD TRUCK F150 4-DOOR CREW CAB"/>
    <s v="V1680"/>
    <s v="SLP"/>
    <s v="MM"/>
    <n v="5"/>
    <n v="25270.5"/>
  </r>
  <r>
    <x v="14"/>
    <d v="2008-08-01T00:00:00"/>
    <s v="2008 FORD TRUCK F150 EXT CREW CAB"/>
    <s v="V1681"/>
    <s v="SLP"/>
    <s v="MM"/>
    <n v="5"/>
    <n v="21864.5"/>
  </r>
  <r>
    <x v="12"/>
    <d v="2008-08-29T00:00:00"/>
    <s v="WAREHOUSE WASHRACK"/>
    <s v="104007"/>
    <s v="SLP"/>
    <s v="MM"/>
    <n v="5"/>
    <n v="8056.74"/>
  </r>
  <r>
    <x v="16"/>
    <d v="2008-09-12T00:00:00"/>
    <s v="TURF TIGER SCAG MOWER 35HP VANGAURD"/>
    <s v="1655"/>
    <s v="SLP"/>
    <s v="MM"/>
    <n v="5"/>
    <n v="9527"/>
  </r>
  <r>
    <x v="16"/>
    <d v="2008-09-26T00:00:00"/>
    <s v="HP COMPAQ  DESKTOP DC7800"/>
    <s v="104000"/>
    <s v="SLP"/>
    <s v="MM"/>
    <n v="5"/>
    <n v="0"/>
  </r>
  <r>
    <x v="12"/>
    <d v="2009-02-27T00:00:00"/>
    <s v="HP ELITEBOOK WORKSTATION 8730W"/>
    <s v="103993"/>
    <s v="SLP"/>
    <s v="MM"/>
    <n v="5"/>
    <n v="0"/>
  </r>
  <r>
    <x v="14"/>
    <d v="2009-03-13T00:00:00"/>
    <s v="2009 INTERNATIONAL 4300 37' BUCKET TRUCK"/>
    <s v="V1722"/>
    <s v="SLP"/>
    <s v="MM"/>
    <n v="5"/>
    <n v="110977"/>
  </r>
  <r>
    <x v="12"/>
    <d v="2009-03-13T00:00:00"/>
    <s v="HP ELITEBOOK NOTEBOOK 8530P"/>
    <s v="103983"/>
    <s v="SLP"/>
    <s v="MM"/>
    <n v="5"/>
    <n v="0"/>
  </r>
  <r>
    <x v="12"/>
    <d v="2009-03-27T00:00:00"/>
    <s v="HP COMPAQ MINITOWER DC7900"/>
    <s v="104045"/>
    <s v="SLP"/>
    <s v="MM"/>
    <n v="5"/>
    <n v="0"/>
  </r>
  <r>
    <x v="16"/>
    <d v="2009-03-27T00:00:00"/>
    <s v="HP LCD MONITOR LP2465"/>
    <s v="103998"/>
    <s v="SLP"/>
    <s v="MM"/>
    <n v="5"/>
    <n v="0"/>
  </r>
  <r>
    <x v="16"/>
    <d v="2009-03-27T00:00:00"/>
    <s v="HP LCD MONITOR LP2465"/>
    <s v="103999"/>
    <s v="SLP"/>
    <s v="MM"/>
    <n v="5"/>
    <n v="0"/>
  </r>
  <r>
    <x v="12"/>
    <d v="2009-04-09T00:00:00"/>
    <s v="ROTARY IMPACT HAMMER DRILL HID6506"/>
    <s v="104034"/>
    <s v="SLP"/>
    <s v="MM"/>
    <n v="5"/>
    <n v="0"/>
  </r>
  <r>
    <x v="0"/>
    <d v="2009-04-30T00:00:00"/>
    <s v="Power Plant FY 2009 - CIP"/>
    <s v="PP4010028"/>
    <s v="SLP"/>
    <s v="MM"/>
    <n v="20"/>
    <n v="1828568.84"/>
  </r>
  <r>
    <x v="6"/>
    <d v="2009-04-30T00:00:00"/>
    <s v="STREET LIGHTS 2009"/>
    <s v="SL4010052"/>
    <s v="SLP"/>
    <s v="MM"/>
    <n v="30"/>
    <n v="102429.92"/>
  </r>
  <r>
    <x v="6"/>
    <d v="2009-04-30T00:00:00"/>
    <s v="SPECIAL LIGHTING 2009 - CAP PROJ"/>
    <s v="SL4010053"/>
    <s v="SLP"/>
    <s v="MM"/>
    <n v="30"/>
    <n v="162862.44"/>
  </r>
  <r>
    <x v="11"/>
    <d v="2009-04-30T00:00:00"/>
    <s v="LIGHT METERS 2009"/>
    <s v="LM4010049"/>
    <s v="SLP"/>
    <s v="MM"/>
    <n v="25"/>
    <n v="48653.84"/>
  </r>
  <r>
    <x v="8"/>
    <d v="2009-04-30T00:00:00"/>
    <s v="SYSTEM ADDITIONS 2009 - CAP PROJ"/>
    <s v="LDS401089"/>
    <s v="SLP"/>
    <s v="MM"/>
    <n v="30"/>
    <n v="229600.92"/>
  </r>
  <r>
    <x v="7"/>
    <d v="2009-04-30T00:00:00"/>
    <s v="TRANSFORMERS 2009"/>
    <s v="TR4010059"/>
    <s v="SLP"/>
    <s v="MM"/>
    <n v="30"/>
    <n v="552240.63"/>
  </r>
  <r>
    <x v="12"/>
    <d v="2009-04-30T00:00:00"/>
    <s v="HP COMPAQ DESKTOP DC7900"/>
    <s v="104005"/>
    <s v="SLP"/>
    <s v="MM"/>
    <n v="5"/>
    <n v="0"/>
  </r>
  <r>
    <x v="12"/>
    <d v="2009-04-30T00:00:00"/>
    <s v="VOICE RECORDER - AX2000"/>
    <s v="104112"/>
    <s v="SLP"/>
    <s v="MM"/>
    <n v="5"/>
    <n v="11367.48"/>
  </r>
  <r>
    <x v="16"/>
    <d v="2009-04-30T00:00:00"/>
    <s v="NET DATA ACQISITION &amp; HANDLING SYSTEMS"/>
    <s v="D104087"/>
    <s v="SLP"/>
    <s v="MM"/>
    <n v="5"/>
    <n v="25015"/>
  </r>
  <r>
    <x v="14"/>
    <d v="2009-07-31T00:00:00"/>
    <s v="2009  FORD TRUCK F750"/>
    <s v="V1753"/>
    <s v="SLP"/>
    <s v="MM"/>
    <n v="5"/>
    <n v="51198.5"/>
  </r>
  <r>
    <x v="14"/>
    <d v="2009-08-14T00:00:00"/>
    <s v="TELELECT AERIAL LIFT DEVICE W / SERVICE BODY FC55"/>
    <s v="V1753A"/>
    <s v="SLP"/>
    <s v="MM"/>
    <n v="5"/>
    <n v="84064"/>
  </r>
  <r>
    <x v="12"/>
    <d v="2009-10-23T00:00:00"/>
    <s v="SKYLIFT BACKYARD MINI-DERRICK 5000"/>
    <s v="1768"/>
    <s v="SLP"/>
    <s v="MM"/>
    <n v="5"/>
    <n v="139142.5"/>
  </r>
  <r>
    <x v="12"/>
    <d v="2009-12-18T00:00:00"/>
    <s v="2009 CF's 18' BLACK TRAILER - 18EHD52"/>
    <s v="1770"/>
    <s v="SLP"/>
    <s v="MM"/>
    <n v="5"/>
    <n v="0"/>
  </r>
  <r>
    <x v="12"/>
    <d v="2010-01-15T00:00:00"/>
    <s v="VELCOM TRANSFORMER OIL FILTRATION SYSTEM"/>
    <s v="104116"/>
    <s v="SLP"/>
    <s v="MM"/>
    <n v="5"/>
    <n v="17648.22"/>
  </r>
  <r>
    <x v="12"/>
    <d v="2010-03-12T00:00:00"/>
    <s v="2009 KUBOTA MOWER - ZG222-48"/>
    <s v="1783"/>
    <s v="SLP"/>
    <s v="MM"/>
    <n v="5"/>
    <n v="6510"/>
  </r>
  <r>
    <x v="16"/>
    <d v="2010-03-12T00:00:00"/>
    <s v="HP ProBook - NOTEBOOK PC 5310m"/>
    <s v="104104"/>
    <s v="SLP"/>
    <s v="MM"/>
    <n v="5"/>
    <n v="0"/>
  </r>
  <r>
    <x v="11"/>
    <d v="2010-04-26T00:00:00"/>
    <s v="LIGHT METERS 2010"/>
    <s v="LM4010050"/>
    <s v="SLP"/>
    <s v="MM"/>
    <n v="25"/>
    <n v="38332.01"/>
  </r>
  <r>
    <x v="7"/>
    <d v="2010-04-26T00:00:00"/>
    <s v="TRANSFORMERS 2010"/>
    <s v="TR4010060"/>
    <s v="SLP"/>
    <s v="MM"/>
    <n v="30"/>
    <n v="819395.97"/>
  </r>
  <r>
    <x v="6"/>
    <d v="2010-04-30T00:00:00"/>
    <s v="SPECIAL LIGHTING 2010 CAP PROJ"/>
    <s v="SL4010054"/>
    <s v="SLP"/>
    <s v="MM"/>
    <n v="30"/>
    <n v="55294.05"/>
  </r>
  <r>
    <x v="6"/>
    <d v="2010-04-30T00:00:00"/>
    <s v="Special Lighting 2010"/>
    <s v="SL4010055"/>
    <s v="SLP"/>
    <s v="MM"/>
    <n v="30"/>
    <n v="148025.42000000001"/>
  </r>
  <r>
    <x v="8"/>
    <d v="2010-04-30T00:00:00"/>
    <s v="RTU, METERING, &amp; COMM EQUIPMENT (CLECO)"/>
    <s v="LDS401090"/>
    <s v="SLP"/>
    <s v="MM"/>
    <n v="30"/>
    <n v="149200"/>
  </r>
  <r>
    <x v="8"/>
    <d v="2010-04-30T00:00:00"/>
    <s v="SYSTEM ADDITIONS 2010 - CAP PROJ"/>
    <s v="LDS401091"/>
    <s v="SLP"/>
    <s v="MM"/>
    <n v="30"/>
    <n v="752821.32"/>
  </r>
  <r>
    <x v="8"/>
    <d v="2010-04-30T00:00:00"/>
    <s v="SYSTEM  ADDITIONS 2010"/>
    <s v="LDS401092"/>
    <s v="SLP"/>
    <s v="MM"/>
    <n v="30"/>
    <n v="161969.76999999999"/>
  </r>
  <r>
    <x v="12"/>
    <d v="2010-04-30T00:00:00"/>
    <s v="6X12 ENCLOSED TRAILER FOR OIL PUMP"/>
    <s v="1786"/>
    <s v="SLP"/>
    <s v="MM"/>
    <n v="5"/>
    <n v="0"/>
  </r>
  <r>
    <x v="12"/>
    <d v="2010-04-30T00:00:00"/>
    <s v="REMOVE &amp; REPLACE 140' FENCE &amp; GATE EXT"/>
    <s v="D104131"/>
    <s v="SLP"/>
    <s v="MM"/>
    <n v="5"/>
    <n v="14520"/>
  </r>
  <r>
    <x v="16"/>
    <d v="2010-07-02T00:00:00"/>
    <s v="HART FISHER FIELD COMMUNICATOR UNIT FS475"/>
    <s v="104174"/>
    <s v="SLP"/>
    <s v="MM"/>
    <n v="5"/>
    <n v="5225.76"/>
  </r>
  <r>
    <x v="12"/>
    <d v="2010-08-13T00:00:00"/>
    <s v="CONCRETE PADS - PAVING"/>
    <s v="D104182"/>
    <s v="SLP"/>
    <s v="MM"/>
    <n v="10"/>
    <n v="52108"/>
  </r>
  <r>
    <x v="12"/>
    <d v="2010-08-13T00:00:00"/>
    <s v="HP DESIGNJET PRINTER 4020PS"/>
    <s v="104175"/>
    <s v="SLP"/>
    <s v="MM"/>
    <n v="5"/>
    <n v="10444"/>
  </r>
  <r>
    <x v="16"/>
    <d v="2010-08-13T00:00:00"/>
    <s v="BOILER REPAIRS  - UNIT 3"/>
    <s v="D104184"/>
    <s v="SLP"/>
    <s v="MM"/>
    <n v="5"/>
    <n v="80975"/>
  </r>
  <r>
    <x v="16"/>
    <d v="2010-11-05T00:00:00"/>
    <s v="FISHER CONTROL VALVE  FOR UNIT #4 - dcv6010"/>
    <s v="D104185"/>
    <s v="SLP"/>
    <s v="MM"/>
    <n v="5"/>
    <n v="19613.5"/>
  </r>
  <r>
    <x v="12"/>
    <d v="2010-12-03T00:00:00"/>
    <s v="DRIVEWAY PANEL REPLACEMENT"/>
    <s v="D104183"/>
    <s v="SLP"/>
    <s v="MM"/>
    <n v="10"/>
    <n v="12820"/>
  </r>
  <r>
    <x v="16"/>
    <d v="2010-12-30T00:00:00"/>
    <s v="PROVIDED &amp; INSTALL 53 BOILER NOSE ARCH TUBE"/>
    <s v="D104184"/>
    <s v="SLP"/>
    <s v="MM"/>
    <n v="5"/>
    <n v="299316"/>
  </r>
  <r>
    <x v="16"/>
    <d v="2011-01-28T00:00:00"/>
    <s v="HP PROBOOK 4525s LAPTOP"/>
    <s v="104171"/>
    <s v="SLP"/>
    <s v="MM"/>
    <n v="5"/>
    <n v="0"/>
  </r>
  <r>
    <x v="6"/>
    <d v="2011-04-30T00:00:00"/>
    <s v="SPECIAL LIGHTING 2011"/>
    <s v="SL4010056"/>
    <s v="SLP"/>
    <s v="MM"/>
    <n v="30"/>
    <n v="83907.19"/>
  </r>
  <r>
    <x v="6"/>
    <d v="2011-04-30T00:00:00"/>
    <s v="SPECIAL LIGHTING CP 2011"/>
    <s v="SL4010057"/>
    <s v="SLP"/>
    <s v="MM"/>
    <n v="30"/>
    <n v="48047.29"/>
  </r>
  <r>
    <x v="11"/>
    <d v="2011-04-30T00:00:00"/>
    <s v="LIGHT METERS 2011"/>
    <s v="LM4010051"/>
    <s v="SLP"/>
    <s v="MM"/>
    <n v="25"/>
    <n v="48424.12"/>
  </r>
  <r>
    <x v="8"/>
    <d v="2011-04-30T00:00:00"/>
    <s v="ELECT DIST SYSTEM ADDITIONS 2011"/>
    <s v="LDS401093"/>
    <s v="SLP"/>
    <s v="HY"/>
    <n v="30"/>
    <n v="124808.04"/>
  </r>
  <r>
    <x v="8"/>
    <d v="2011-04-30T00:00:00"/>
    <s v="SYSTEM ADDITION - 2011"/>
    <s v="LDS401094"/>
    <s v="SLP"/>
    <s v="HY"/>
    <n v="30"/>
    <n v="930929.47"/>
  </r>
  <r>
    <x v="7"/>
    <d v="2011-04-30T00:00:00"/>
    <s v="TRANSFORMERS 2011"/>
    <s v="TR4010061"/>
    <s v="SLP"/>
    <s v="MM"/>
    <n v="30"/>
    <n v="632936.21"/>
  </r>
  <r>
    <x v="14"/>
    <d v="2011-06-17T00:00:00"/>
    <s v="2012 INTL 7600 BUCKET TRUCK"/>
    <s v="V1802"/>
    <s v="SLP"/>
    <s v="MM"/>
    <n v="5"/>
    <n v="262748"/>
  </r>
  <r>
    <x v="16"/>
    <d v="2011-09-23T00:00:00"/>
    <s v="CONTROL VALVE - UNIT 3"/>
    <s v="104390"/>
    <s v="SLP"/>
    <s v="MM"/>
    <n v="5"/>
    <n v="20201.43"/>
  </r>
  <r>
    <x v="14"/>
    <d v="2011-12-16T00:00:00"/>
    <s v="2011 HYD DIGGER TRICK F750 MODEL DC47"/>
    <s v="V1806"/>
    <s v="SLP"/>
    <s v="MM"/>
    <n v="5"/>
    <n v="166978"/>
  </r>
  <r>
    <x v="12"/>
    <d v="2011-12-16T00:00:00"/>
    <s v="2011 KUBOTA M8540DTC-1 W/CUTTER"/>
    <s v="84598"/>
    <s v="SLP"/>
    <s v="MM"/>
    <n v="5"/>
    <n v="38160.720000000001"/>
  </r>
  <r>
    <x v="12"/>
    <d v="2012-02-24T00:00:00"/>
    <s v="2011 TRAILER 24' 7000 LB BLACK"/>
    <s v="1822"/>
    <s v="SLP"/>
    <s v="MM"/>
    <n v="5"/>
    <n v="0"/>
  </r>
  <r>
    <x v="12"/>
    <d v="2012-03-23T00:00:00"/>
    <s v="48&quot; HUSTLER SUPER DUTY RIDING MOWER"/>
    <s v="1827"/>
    <s v="SLP"/>
    <s v="MM"/>
    <n v="5"/>
    <n v="5182"/>
  </r>
  <r>
    <x v="6"/>
    <d v="2012-04-30T00:00:00"/>
    <s v="SPECIAL LIGHTING 2012"/>
    <s v="SL4010058"/>
    <s v="SLP"/>
    <s v="MM"/>
    <n v="30"/>
    <n v="78487.61"/>
  </r>
  <r>
    <x v="6"/>
    <d v="2012-04-30T00:00:00"/>
    <s v="SPECIAL LIGHTING CP 2012"/>
    <s v="SL4010059"/>
    <s v="SLP"/>
    <s v="MM"/>
    <n v="30"/>
    <n v="19081.669999999998"/>
  </r>
  <r>
    <x v="11"/>
    <d v="2012-04-30T00:00:00"/>
    <s v="LIGHT METERS 2012"/>
    <s v="LM4010052"/>
    <s v="SLP"/>
    <s v="MM"/>
    <n v="25"/>
    <n v="48126.79"/>
  </r>
  <r>
    <x v="8"/>
    <d v="2012-04-30T00:00:00"/>
    <s v="LIGHT DIST SYSTEM 2012"/>
    <s v="LDS401095"/>
    <s v="SLP"/>
    <s v="MM"/>
    <n v="30"/>
    <n v="143087.13"/>
  </r>
  <r>
    <x v="8"/>
    <d v="2012-04-30T00:00:00"/>
    <s v="LIGHT DIST SYSTEM ADDITION - CIP 2012"/>
    <s v="LDS401096"/>
    <s v="SLP"/>
    <s v="MM"/>
    <n v="30"/>
    <n v="104582.43"/>
  </r>
  <r>
    <x v="7"/>
    <d v="2012-04-30T00:00:00"/>
    <s v="TRANSFORMERS 2012"/>
    <s v="TR4010062"/>
    <s v="SLP"/>
    <s v="MM"/>
    <n v="30"/>
    <n v="366395.7"/>
  </r>
  <r>
    <x v="14"/>
    <d v="2012-06-29T00:00:00"/>
    <s v="2012 FORD F150 CREW CAB TRUCK"/>
    <s v="V1843"/>
    <s v="SLP"/>
    <s v="MM"/>
    <n v="5"/>
    <n v="31867.5"/>
  </r>
  <r>
    <x v="16"/>
    <d v="2012-07-13T00:00:00"/>
    <s v="535 POWER THREADER - RIDGE VISE (STAND &amp; DIE)"/>
    <s v="104391"/>
    <s v="SLP"/>
    <s v="MM"/>
    <n v="5"/>
    <n v="6494.16"/>
  </r>
  <r>
    <x v="16"/>
    <d v="2012-07-27T00:00:00"/>
    <s v="48 PORT CS STACKABLE POE SWITCH 3610 ACCESS PT"/>
    <s v="104389"/>
    <s v="SLP"/>
    <s v="MM"/>
    <n v="7"/>
    <n v="5846.75"/>
  </r>
  <r>
    <x v="14"/>
    <d v="2012-09-07T00:00:00"/>
    <s v="2012 FORD F350 SRW TRUCK 4X4"/>
    <s v="V1854"/>
    <s v="SLP"/>
    <s v="MM"/>
    <n v="5"/>
    <n v="39793.5"/>
  </r>
  <r>
    <x v="16"/>
    <d v="2013-04-04T00:00:00"/>
    <s v="2014 CFW 18' BLACK TRAILER"/>
    <s v="1970"/>
    <s v="NONE"/>
    <s v="MM"/>
    <n v="5"/>
    <n v="0"/>
  </r>
  <r>
    <x v="0"/>
    <d v="2013-04-30T00:00:00"/>
    <s v="POWER PLANT - 2013 CAP PROJ"/>
    <s v="PP4010029"/>
    <s v="SLP"/>
    <s v="MM"/>
    <n v="20"/>
    <n v="682718.21"/>
  </r>
  <r>
    <x v="6"/>
    <d v="2013-04-30T00:00:00"/>
    <s v="SPECIAL LIGHTING - 2013"/>
    <s v="SL4010060"/>
    <s v="SLP"/>
    <s v="MM"/>
    <n v="30"/>
    <n v="219896.95"/>
  </r>
  <r>
    <x v="11"/>
    <d v="2013-04-30T00:00:00"/>
    <s v="LIGHT METERS 2013"/>
    <s v="LM4010053"/>
    <s v="SLP"/>
    <s v="MM"/>
    <n v="25"/>
    <n v="64546.26"/>
  </r>
  <r>
    <x v="8"/>
    <d v="2013-04-30T00:00:00"/>
    <s v="LIGHT DIST SYSTEM ADDITIONS 2013"/>
    <s v="LDS401097"/>
    <s v="SLP"/>
    <s v="MM"/>
    <n v="30"/>
    <n v="334934.09000000003"/>
  </r>
  <r>
    <x v="8"/>
    <d v="2013-04-30T00:00:00"/>
    <s v="LIGHT SYSTEM ADDITION - CAP PROJ 2013"/>
    <s v="LDS401098"/>
    <s v="SLP"/>
    <s v="MM"/>
    <n v="30"/>
    <n v="640098.49"/>
  </r>
  <r>
    <x v="7"/>
    <d v="2013-04-30T00:00:00"/>
    <s v="TRANSFORMERS 2013"/>
    <s v="TR4010063"/>
    <s v="SLP"/>
    <s v="MM"/>
    <n v="30"/>
    <n v="332284.15999999997"/>
  </r>
  <r>
    <x v="14"/>
    <d v="2013-05-17T00:00:00"/>
    <s v="2013 FORD F250 TRUCK"/>
    <s v="V1890"/>
    <s v="NONE"/>
    <s v="MM"/>
    <n v="5"/>
    <n v="32470.5"/>
  </r>
  <r>
    <x v="14"/>
    <d v="2013-05-17T00:00:00"/>
    <s v="2013 FORD F150 TRUCK"/>
    <s v="V1893"/>
    <s v="NONE"/>
    <s v="MM"/>
    <n v="5"/>
    <n v="26271.5"/>
  </r>
  <r>
    <x v="21"/>
    <d v="2013-08-09T00:00:00"/>
    <s v="2013 FORD F150 4X2 TRUCK"/>
    <s v="V1918"/>
    <s v="NONE"/>
    <s v="MM"/>
    <n v="5"/>
    <n v="22874.5"/>
  </r>
  <r>
    <x v="21"/>
    <d v="2013-08-23T00:00:00"/>
    <s v="CROSSOVER TOOL BOX &amp; ENT VISORS"/>
    <s v="V1918A"/>
    <s v="NONE"/>
    <s v="MM"/>
    <n v="5"/>
    <n v="360"/>
  </r>
  <r>
    <x v="14"/>
    <d v="2013-09-06T00:00:00"/>
    <s v="2013 FORD F150 TRUCK"/>
    <s v="V1921"/>
    <s v="NONE"/>
    <s v="MM"/>
    <n v="5"/>
    <n v="26274.5"/>
  </r>
  <r>
    <x v="12"/>
    <d v="2013-09-06T00:00:00"/>
    <s v="REVOLUTION PQ-VOLTAGE RECORDER"/>
    <s v="104392"/>
    <s v="NONE"/>
    <s v="MM"/>
    <n v="5"/>
    <n v="6668.54"/>
  </r>
  <r>
    <x v="12"/>
    <d v="2013-11-27T00:00:00"/>
    <s v="2014 JOHN DEERE UTILITY GATOR XUV625i"/>
    <s v="1935"/>
    <s v="NONE"/>
    <s v="MM"/>
    <n v="5"/>
    <n v="8657.73"/>
  </r>
  <r>
    <x v="14"/>
    <d v="2013-12-13T00:00:00"/>
    <s v="2014 FORD F250 TRUCK"/>
    <s v="V1950"/>
    <s v="NONE"/>
    <s v="MM"/>
    <n v="5"/>
    <n v="39715.5"/>
  </r>
  <r>
    <x v="14"/>
    <d v="2014-04-17T00:00:00"/>
    <s v="2014 FORD F550 CHASSIS FOR VAC TRUCK"/>
    <s v="V1996"/>
    <s v="NONE"/>
    <s v="MM"/>
    <n v="5"/>
    <n v="41799.5"/>
  </r>
  <r>
    <x v="6"/>
    <d v="2014-04-30T00:00:00"/>
    <s v="SPECIAL LIGHTING 2014"/>
    <s v="SL4010061"/>
    <s v="NONE"/>
    <s v="MM"/>
    <n v="30"/>
    <n v="190197.9"/>
  </r>
  <r>
    <x v="11"/>
    <d v="2014-04-30T00:00:00"/>
    <s v="LIGHT METERS 2014"/>
    <s v="LM4010054"/>
    <s v="NONE"/>
    <s v="MM"/>
    <n v="25"/>
    <n v="51567.47"/>
  </r>
  <r>
    <x v="8"/>
    <d v="2014-04-30T00:00:00"/>
    <s v="LIGHT SYSTEM ADDITIONS"/>
    <s v="LDS401099"/>
    <s v="NONE"/>
    <s v="MM"/>
    <n v="30"/>
    <n v="244556.72"/>
  </r>
  <r>
    <x v="7"/>
    <d v="2014-04-30T00:00:00"/>
    <s v="TRANSFORMERS 2014"/>
    <s v="TR4010064"/>
    <s v="NONE"/>
    <s v="MM"/>
    <n v="30"/>
    <n v="351177.79"/>
  </r>
  <r>
    <x v="12"/>
    <d v="2014-04-30T00:00:00"/>
    <s v="PARKING CANOPY COVER &amp; LABOR - ELEC DIST"/>
    <s v="104393"/>
    <s v="NONE"/>
    <s v="MM"/>
    <n v="5"/>
    <n v="32620"/>
  </r>
  <r>
    <x v="8"/>
    <d v="2014-04-30T00:00:00"/>
    <s v="LIGHT SYSTEM ADDITION - CAP PROJECT 2014"/>
    <s v="LDS401100"/>
    <s v="SLP"/>
    <s v="MM"/>
    <n v="30"/>
    <n v="106546.66"/>
  </r>
  <r>
    <x v="15"/>
    <d v="2014-04-30T00:00:00"/>
    <s v="KV TIE LINES - CAP PROJECT 2014"/>
    <s v="TR-KV405"/>
    <s v="SLP"/>
    <s v="MM"/>
    <n v="30"/>
    <n v="1144503.03"/>
  </r>
  <r>
    <x v="12"/>
    <d v="2014-04-30T00:00:00"/>
    <s v="SCADA UPGRADE - UTIL CAP PROJ 2014"/>
    <s v="TR-KV405"/>
    <s v="SLP"/>
    <s v="MM"/>
    <n v="5"/>
    <n v="88970"/>
  </r>
  <r>
    <x v="22"/>
    <d v="2014-04-30T00:00:00"/>
    <s v="BAYOU COVE UNIT #1"/>
    <s v="PP4012014"/>
    <s v="SLP"/>
    <s v="MM"/>
    <n v="30"/>
    <n v="26775000"/>
  </r>
  <r>
    <x v="16"/>
    <d v="2014-06-13T00:00:00"/>
    <s v="72&quot; SCAG ZERO TURN MOWER"/>
    <s v="1976"/>
    <s v="SLP"/>
    <s v="MM"/>
    <n v="5"/>
    <n v="10884.2"/>
  </r>
  <r>
    <x v="12"/>
    <d v="2014-06-27T00:00:00"/>
    <s v="2014 MAGNUM PRO LIGHT TOWER TOWABLE"/>
    <s v="1983"/>
    <s v="SLP"/>
    <s v="MM"/>
    <n v="5"/>
    <n v="8720"/>
  </r>
  <r>
    <x v="12"/>
    <d v="2014-06-27T00:00:00"/>
    <s v="2014 JD ATLASCOPCO COMPRESSOR XAS185JD7"/>
    <s v="1984"/>
    <s v="SLP"/>
    <s v="MM"/>
    <n v="5"/>
    <n v="15800"/>
  </r>
  <r>
    <x v="14"/>
    <d v="2014-07-25T00:00:00"/>
    <s v="PIPEHUNTER VACHUNTER HYDRO-EXCAVATOR ENG99HP"/>
    <s v="V1996A"/>
    <s v="SLP"/>
    <s v="MM"/>
    <n v="5"/>
    <n v="93379"/>
  </r>
  <r>
    <x v="21"/>
    <d v="2014-08-08T00:00:00"/>
    <s v="2014 FORD F150 TRUCK"/>
    <s v="V2004"/>
    <s v="SLP"/>
    <s v="MM"/>
    <n v="5"/>
    <n v="24324.5"/>
  </r>
  <r>
    <x v="14"/>
    <d v="2014-09-19T00:00:00"/>
    <s v="2015 FORD EXPLORER"/>
    <s v="V2012"/>
    <s v="SLP"/>
    <s v="MM"/>
    <n v="5"/>
    <n v="26714.5"/>
  </r>
  <r>
    <x v="12"/>
    <d v="2014-10-03T00:00:00"/>
    <s v="EAGLE EYE DC GROUND FAULT LOCATOR"/>
    <s v="104209"/>
    <s v="SLP"/>
    <s v="MM"/>
    <n v="5"/>
    <n v="5970"/>
  </r>
  <r>
    <x v="14"/>
    <d v="2014-10-31T00:00:00"/>
    <s v="2015 CLASS A ELEVATORS - ALTEC CHASSIS"/>
    <s v="V1997"/>
    <s v="SLP"/>
    <s v="MM"/>
    <n v="1"/>
    <n v="167998"/>
  </r>
  <r>
    <x v="12"/>
    <d v="2014-12-12T00:00:00"/>
    <s v="2014 ALTEC LOAD TRAILER  FOR 2021"/>
    <s v="2020"/>
    <s v="SLP"/>
    <s v="MM"/>
    <n v="5"/>
    <n v="9250"/>
  </r>
  <r>
    <x v="12"/>
    <d v="2014-12-12T00:00:00"/>
    <s v="2015 BACKYAR BUGGY MANLIFT #4ZECH1821F1068548"/>
    <s v="2021"/>
    <s v="SLP"/>
    <s v="MM"/>
    <n v="10"/>
    <n v="114884.95"/>
  </r>
  <r>
    <x v="12"/>
    <d v="2015-04-17T00:00:00"/>
    <s v="2015 BIG TEC 6.5 X 14 SINGLE AXLE UTILITY TRAILER"/>
    <s v="2042"/>
    <s v="SLP"/>
    <s v="MM"/>
    <n v="5"/>
    <n v="0"/>
  </r>
  <r>
    <x v="6"/>
    <d v="2015-04-30T00:00:00"/>
    <s v="SPECIAL LIGHTING 2015"/>
    <s v="SL4010062"/>
    <s v="SLP"/>
    <s v="MM"/>
    <n v="30"/>
    <n v="201425.45"/>
  </r>
  <r>
    <x v="11"/>
    <d v="2015-04-30T00:00:00"/>
    <s v="LIGHT METERS 2015"/>
    <s v="LM4010055"/>
    <s v="SLP"/>
    <s v="MM"/>
    <n v="25"/>
    <n v="75036.42"/>
  </r>
  <r>
    <x v="8"/>
    <d v="2015-04-30T00:00:00"/>
    <s v="LIGHT SYSTEM ADDITION 2015"/>
    <s v="LDS401101"/>
    <s v="SLP"/>
    <s v="MM"/>
    <n v="30"/>
    <n v="369377.19"/>
  </r>
  <r>
    <x v="7"/>
    <d v="2015-04-30T00:00:00"/>
    <s v="TRANSFORMERS 2015"/>
    <s v="TR4010065"/>
    <s v="SLP"/>
    <s v="MM"/>
    <n v="30"/>
    <n v="482998.07"/>
  </r>
  <r>
    <x v="12"/>
    <d v="2015-04-30T00:00:00"/>
    <s v="ELECTRICAL WAREHOUSE CANOPY"/>
    <s v="104393A"/>
    <s v="SLP"/>
    <s v="MM"/>
    <n v="5"/>
    <n v="12448.75"/>
  </r>
  <r>
    <x v="8"/>
    <d v="2015-04-30T00:00:00"/>
    <s v="Adjustment: Property Surplused during Fiscal Year 2015"/>
    <m/>
    <s v="NONE"/>
    <s v="MM"/>
    <n v="0"/>
    <n v="342033.7"/>
  </r>
  <r>
    <x v="15"/>
    <d v="2015-04-30T00:00:00"/>
    <s v="Adjustment: Property Surplused during Fiscal Year 2015"/>
    <m/>
    <s v="NONE"/>
    <s v="MM"/>
    <n v="0"/>
    <n v="497514.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G535:H559" firstHeaderRow="1" firstDataRow="1" firstDataCol="1"/>
  <pivotFields count="8">
    <pivotField axis="axisRow" showAll="0">
      <items count="24">
        <item x="2"/>
        <item x="17"/>
        <item x="3"/>
        <item x="0"/>
        <item x="22"/>
        <item x="6"/>
        <item x="11"/>
        <item x="9"/>
        <item x="4"/>
        <item x="20"/>
        <item x="5"/>
        <item x="1"/>
        <item x="8"/>
        <item x="7"/>
        <item x="10"/>
        <item x="13"/>
        <item x="15"/>
        <item x="18"/>
        <item x="19"/>
        <item x="21"/>
        <item x="14"/>
        <item x="12"/>
        <item x="16"/>
        <item t="default"/>
      </items>
    </pivotField>
    <pivotField numFmtId="14" showAll="0"/>
    <pivotField showAll="0"/>
    <pivotField showAll="0"/>
    <pivotField showAll="0"/>
    <pivotField showAll="0"/>
    <pivotField showAll="0"/>
    <pivotField dataField="1" numFmtId="173" showAll="0"/>
  </pivotFields>
  <rowFields count="1">
    <field x="0"/>
  </rowFields>
  <rowItems count="24">
    <i>
      <x/>
    </i>
    <i>
      <x v="1"/>
    </i>
    <i>
      <x v="2"/>
    </i>
    <i>
      <x v="3"/>
    </i>
    <i>
      <x v="4"/>
    </i>
    <i>
      <x v="5"/>
    </i>
    <i>
      <x v="6"/>
    </i>
    <i>
      <x v="7"/>
    </i>
    <i>
      <x v="8"/>
    </i>
    <i>
      <x v="9"/>
    </i>
    <i>
      <x v="10"/>
    </i>
    <i>
      <x v="11"/>
    </i>
    <i>
      <x v="12"/>
    </i>
    <i>
      <x v="13"/>
    </i>
    <i>
      <x v="14"/>
    </i>
    <i>
      <x v="15"/>
    </i>
    <i>
      <x v="16"/>
    </i>
    <i>
      <x v="17"/>
    </i>
    <i>
      <x v="18"/>
    </i>
    <i>
      <x v="19"/>
    </i>
    <i>
      <x v="20"/>
    </i>
    <i>
      <x v="21"/>
    </i>
    <i>
      <x v="22"/>
    </i>
    <i t="grand">
      <x/>
    </i>
  </rowItems>
  <colItems count="1">
    <i/>
  </colItems>
  <dataFields count="1">
    <dataField name="Sum of Original Cost" fld="7" baseField="0" baseItem="0" numFmtId="172"/>
  </dataFields>
  <formats count="6">
    <format dxfId="5">
      <pivotArea type="all" dataOnly="0" outline="0" fieldPosition="0"/>
    </format>
    <format dxfId="4">
      <pivotArea outline="0" collapsedLevelsAreSubtotals="1" fieldPosition="0"/>
    </format>
    <format dxfId="3">
      <pivotArea field="0" type="button" dataOnly="0" labelOnly="1" outline="0" axis="axisRow" fieldPosition="0"/>
    </format>
    <format dxfId="2">
      <pivotArea dataOnly="0" labelOnly="1" outline="0" axis="axisValues" fieldPosition="0"/>
    </format>
    <format dxfId="1">
      <pivotArea dataOnly="0" labelOnly="1" fieldPosition="0">
        <references count="1">
          <reference field="0" count="0"/>
        </references>
      </pivotArea>
    </format>
    <format dxfId="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ivotTable" Target="../pivotTables/pivotTable1.xml"/><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1"/>
  <sheetViews>
    <sheetView zoomScale="70" zoomScaleNormal="70" zoomScaleSheetLayoutView="85" workbookViewId="0">
      <selection activeCell="M264" sqref="M264"/>
    </sheetView>
  </sheetViews>
  <sheetFormatPr defaultColWidth="8.88671875" defaultRowHeight="15.75"/>
  <cols>
    <col min="1" max="1" width="6" style="6" customWidth="1"/>
    <col min="2" max="2" width="28.44140625" style="6" customWidth="1"/>
    <col min="3" max="3" width="32.5546875" style="6" customWidth="1"/>
    <col min="4" max="4" width="17.5546875" style="6" customWidth="1"/>
    <col min="5" max="5" width="5.6640625" style="6" customWidth="1"/>
    <col min="6" max="6" width="4.6640625" style="6" customWidth="1"/>
    <col min="7" max="7" width="9.33203125" style="6" customWidth="1"/>
    <col min="8" max="8" width="3.88671875" style="6" customWidth="1"/>
    <col min="9" max="9" width="15" style="6" customWidth="1"/>
    <col min="10" max="10" width="2.109375" style="6" customWidth="1"/>
    <col min="11" max="11" width="11.5546875" style="6" customWidth="1"/>
    <col min="12" max="12" width="12.109375" style="6" bestFit="1" customWidth="1"/>
    <col min="13" max="13" width="11.88671875" style="6" bestFit="1" customWidth="1"/>
    <col min="14" max="14" width="16.77734375" style="6" customWidth="1"/>
    <col min="15" max="15" width="6.21875" style="6" customWidth="1"/>
    <col min="16" max="16384" width="8.88671875" style="6"/>
  </cols>
  <sheetData>
    <row r="1" spans="1:18">
      <c r="K1" s="7" t="s">
        <v>300</v>
      </c>
      <c r="N1" s="8"/>
      <c r="O1" s="8"/>
      <c r="P1" s="8"/>
      <c r="Q1" s="8"/>
      <c r="R1" s="8"/>
    </row>
    <row r="2" spans="1:18">
      <c r="B2" s="9"/>
      <c r="C2" s="9"/>
      <c r="D2" s="10"/>
      <c r="E2" s="9"/>
      <c r="F2" s="9"/>
      <c r="G2" s="9"/>
      <c r="H2" s="11"/>
      <c r="I2" s="11"/>
      <c r="K2" s="12" t="s">
        <v>184</v>
      </c>
      <c r="L2" s="11"/>
      <c r="N2" s="8"/>
      <c r="O2" s="8"/>
      <c r="P2" s="8"/>
      <c r="Q2" s="8"/>
      <c r="R2" s="8"/>
    </row>
    <row r="3" spans="1:18">
      <c r="B3" s="9"/>
      <c r="C3" s="9"/>
      <c r="D3" s="10"/>
      <c r="E3" s="9"/>
      <c r="F3" s="9"/>
      <c r="G3" s="9"/>
      <c r="H3" s="11"/>
      <c r="I3" s="11"/>
      <c r="J3" s="11"/>
      <c r="K3" s="13"/>
      <c r="L3" s="11"/>
      <c r="N3" s="8"/>
      <c r="O3" s="8"/>
      <c r="P3" s="8"/>
      <c r="Q3" s="8"/>
      <c r="R3" s="8"/>
    </row>
    <row r="4" spans="1:18">
      <c r="B4" s="9" t="s">
        <v>0</v>
      </c>
      <c r="C4" s="9"/>
      <c r="D4" s="10" t="s">
        <v>1</v>
      </c>
      <c r="E4" s="9"/>
      <c r="F4" s="9"/>
      <c r="G4" s="9"/>
      <c r="H4" s="14"/>
      <c r="I4" s="15"/>
      <c r="J4" s="14"/>
      <c r="K4" s="16" t="s">
        <v>1938</v>
      </c>
      <c r="L4" s="75"/>
      <c r="M4" s="1"/>
      <c r="N4" s="536"/>
      <c r="O4" s="536"/>
      <c r="P4" s="8"/>
      <c r="Q4" s="8"/>
      <c r="R4" s="8"/>
    </row>
    <row r="5" spans="1:18">
      <c r="B5" s="9"/>
      <c r="C5" s="17" t="s">
        <v>2</v>
      </c>
      <c r="D5" s="17" t="s">
        <v>3</v>
      </c>
      <c r="E5" s="17"/>
      <c r="F5" s="17"/>
      <c r="G5" s="17"/>
      <c r="H5" s="11"/>
      <c r="I5" s="11"/>
      <c r="J5" s="11"/>
      <c r="K5" s="11"/>
      <c r="L5" s="11"/>
      <c r="N5" s="18"/>
      <c r="O5" s="18"/>
      <c r="P5" s="8"/>
      <c r="Q5" s="19"/>
      <c r="R5" s="19"/>
    </row>
    <row r="6" spans="1:18">
      <c r="B6" s="11"/>
      <c r="C6" s="11"/>
      <c r="D6" s="11"/>
      <c r="E6" s="11"/>
      <c r="F6" s="11"/>
      <c r="G6" s="11"/>
      <c r="H6" s="11"/>
      <c r="I6" s="11"/>
      <c r="J6" s="11"/>
      <c r="K6" s="11"/>
      <c r="L6" s="11"/>
      <c r="N6" s="20"/>
      <c r="O6" s="20"/>
      <c r="P6" s="20"/>
      <c r="Q6" s="20"/>
      <c r="R6" s="20"/>
    </row>
    <row r="7" spans="1:18">
      <c r="A7" s="13"/>
      <c r="B7" s="11"/>
      <c r="C7" s="11"/>
      <c r="D7" s="21" t="s">
        <v>1954</v>
      </c>
      <c r="E7" s="14"/>
      <c r="F7" s="11"/>
      <c r="G7" s="11"/>
      <c r="H7" s="11"/>
      <c r="I7" s="11"/>
      <c r="J7" s="11"/>
      <c r="K7" s="11"/>
      <c r="L7" s="553"/>
      <c r="M7" s="554"/>
      <c r="N7" s="555"/>
      <c r="O7" s="556"/>
      <c r="P7" s="20"/>
      <c r="Q7" s="20"/>
      <c r="R7" s="20"/>
    </row>
    <row r="8" spans="1:18">
      <c r="A8" s="13"/>
      <c r="B8" s="11"/>
      <c r="C8" s="11"/>
      <c r="D8" s="22"/>
      <c r="E8" s="11"/>
      <c r="F8" s="11"/>
      <c r="G8" s="11"/>
      <c r="H8" s="11"/>
      <c r="I8" s="11"/>
      <c r="J8" s="11"/>
      <c r="K8" s="11"/>
      <c r="L8" s="553"/>
      <c r="M8" s="554"/>
      <c r="N8" s="557"/>
      <c r="O8" s="82"/>
    </row>
    <row r="9" spans="1:18">
      <c r="A9" s="13" t="s">
        <v>4</v>
      </c>
      <c r="B9" s="11"/>
      <c r="C9" s="11"/>
      <c r="D9" s="22"/>
      <c r="E9" s="11"/>
      <c r="F9" s="11"/>
      <c r="G9" s="11"/>
      <c r="H9" s="11"/>
      <c r="I9" s="13" t="s">
        <v>5</v>
      </c>
      <c r="J9" s="11"/>
      <c r="K9" s="11"/>
      <c r="L9" s="554"/>
      <c r="M9" s="554"/>
      <c r="N9" s="557"/>
      <c r="O9" s="558"/>
    </row>
    <row r="10" spans="1:18" ht="16.5" thickBot="1">
      <c r="A10" s="23" t="s">
        <v>6</v>
      </c>
      <c r="B10" s="11"/>
      <c r="C10" s="11"/>
      <c r="D10" s="11"/>
      <c r="E10" s="11"/>
      <c r="F10" s="11"/>
      <c r="G10" s="11"/>
      <c r="H10" s="11"/>
      <c r="I10" s="23" t="s">
        <v>7</v>
      </c>
      <c r="J10" s="11"/>
      <c r="K10" s="11"/>
      <c r="L10" s="559"/>
      <c r="M10" s="560"/>
      <c r="N10" s="560"/>
      <c r="O10" s="82"/>
    </row>
    <row r="11" spans="1:18">
      <c r="A11" s="13">
        <v>1</v>
      </c>
      <c r="B11" s="11" t="s">
        <v>248</v>
      </c>
      <c r="C11" s="11"/>
      <c r="D11" s="24"/>
      <c r="E11" s="11"/>
      <c r="F11" s="11"/>
      <c r="G11" s="11"/>
      <c r="H11" s="11"/>
      <c r="I11" s="25">
        <f>+I201</f>
        <v>2611986.8017487088</v>
      </c>
      <c r="J11" s="11"/>
      <c r="K11" s="11"/>
      <c r="L11" s="561"/>
      <c r="M11" s="562"/>
      <c r="N11" s="563"/>
      <c r="O11" s="84"/>
      <c r="P11" s="11"/>
    </row>
    <row r="12" spans="1:18">
      <c r="A12" s="13"/>
      <c r="B12" s="11"/>
      <c r="C12" s="11"/>
      <c r="D12" s="11"/>
      <c r="E12" s="11"/>
      <c r="F12" s="11"/>
      <c r="G12" s="11"/>
      <c r="H12" s="11"/>
      <c r="I12" s="24"/>
      <c r="J12" s="11"/>
      <c r="K12" s="11"/>
      <c r="L12" s="84"/>
      <c r="M12" s="82"/>
      <c r="N12" s="82"/>
      <c r="O12" s="84"/>
      <c r="P12" s="11"/>
    </row>
    <row r="13" spans="1:18" ht="16.5" thickBot="1">
      <c r="A13" s="13" t="s">
        <v>2</v>
      </c>
      <c r="B13" s="9" t="s">
        <v>8</v>
      </c>
      <c r="C13" s="17" t="s">
        <v>175</v>
      </c>
      <c r="D13" s="23" t="s">
        <v>9</v>
      </c>
      <c r="E13" s="17"/>
      <c r="F13" s="26" t="s">
        <v>10</v>
      </c>
      <c r="G13" s="26"/>
      <c r="H13" s="11"/>
      <c r="I13" s="24"/>
      <c r="J13" s="11"/>
      <c r="K13" s="11"/>
      <c r="L13" s="82"/>
      <c r="M13" s="82"/>
      <c r="N13" s="82"/>
      <c r="O13" s="84"/>
      <c r="P13" s="11"/>
    </row>
    <row r="14" spans="1:18">
      <c r="A14" s="13">
        <v>2</v>
      </c>
      <c r="B14" s="9" t="s">
        <v>11</v>
      </c>
      <c r="C14" s="17" t="s">
        <v>168</v>
      </c>
      <c r="D14" s="17">
        <f>I261</f>
        <v>0</v>
      </c>
      <c r="E14" s="17"/>
      <c r="F14" s="17" t="s">
        <v>12</v>
      </c>
      <c r="G14" s="27">
        <f>I220</f>
        <v>1</v>
      </c>
      <c r="H14" s="17"/>
      <c r="I14" s="17">
        <f>+G14*D14</f>
        <v>0</v>
      </c>
      <c r="J14" s="11"/>
      <c r="K14" s="11"/>
      <c r="L14" s="564"/>
      <c r="M14" s="562"/>
      <c r="N14" s="563"/>
      <c r="O14" s="84"/>
      <c r="P14" s="11"/>
    </row>
    <row r="15" spans="1:18">
      <c r="A15" s="13">
        <v>3</v>
      </c>
      <c r="B15" s="9" t="s">
        <v>192</v>
      </c>
      <c r="C15" s="17" t="s">
        <v>169</v>
      </c>
      <c r="D15" s="17">
        <f>I268</f>
        <v>83417.927757251397</v>
      </c>
      <c r="E15" s="17"/>
      <c r="F15" s="17" t="str">
        <f>+F14</f>
        <v>TP</v>
      </c>
      <c r="G15" s="27">
        <f>+G14</f>
        <v>1</v>
      </c>
      <c r="H15" s="17"/>
      <c r="I15" s="17">
        <f>+G15*D15</f>
        <v>83417.927757251397</v>
      </c>
      <c r="J15" s="11"/>
      <c r="K15" s="11"/>
      <c r="L15" s="564"/>
      <c r="M15" s="562"/>
      <c r="N15" s="563"/>
      <c r="O15" s="84"/>
      <c r="P15" s="11"/>
    </row>
    <row r="16" spans="1:18">
      <c r="A16" s="13">
        <v>4</v>
      </c>
      <c r="B16" s="9" t="s">
        <v>13</v>
      </c>
      <c r="C16" s="17"/>
      <c r="D16" s="28">
        <v>0</v>
      </c>
      <c r="E16" s="17"/>
      <c r="F16" s="17" t="s">
        <v>12</v>
      </c>
      <c r="G16" s="27">
        <f>+G14</f>
        <v>1</v>
      </c>
      <c r="H16" s="17"/>
      <c r="I16" s="17">
        <f>+G16*D16</f>
        <v>0</v>
      </c>
      <c r="J16" s="11"/>
      <c r="K16" s="11"/>
      <c r="L16" s="564"/>
      <c r="M16" s="562"/>
      <c r="N16" s="563"/>
      <c r="O16" s="84"/>
      <c r="P16" s="11"/>
    </row>
    <row r="17" spans="1:16" ht="16.5" thickBot="1">
      <c r="A17" s="13">
        <v>5</v>
      </c>
      <c r="B17" s="9" t="s">
        <v>14</v>
      </c>
      <c r="C17" s="17"/>
      <c r="D17" s="28">
        <v>0</v>
      </c>
      <c r="E17" s="17"/>
      <c r="F17" s="17" t="s">
        <v>12</v>
      </c>
      <c r="G17" s="27">
        <f>+G14</f>
        <v>1</v>
      </c>
      <c r="H17" s="17"/>
      <c r="I17" s="29">
        <f>+G17*D17</f>
        <v>0</v>
      </c>
      <c r="J17" s="11"/>
      <c r="K17" s="11"/>
      <c r="L17" s="564"/>
      <c r="M17" s="562"/>
      <c r="N17" s="563"/>
      <c r="O17" s="84"/>
      <c r="P17" s="11"/>
    </row>
    <row r="18" spans="1:16">
      <c r="A18" s="13">
        <v>6</v>
      </c>
      <c r="B18" s="9" t="s">
        <v>15</v>
      </c>
      <c r="C18" s="11"/>
      <c r="D18" s="30" t="s">
        <v>2</v>
      </c>
      <c r="E18" s="17"/>
      <c r="F18" s="17"/>
      <c r="G18" s="27"/>
      <c r="H18" s="17"/>
      <c r="I18" s="17">
        <f>SUM(I14:I17)</f>
        <v>83417.927757251397</v>
      </c>
      <c r="J18" s="11"/>
      <c r="K18" s="11"/>
      <c r="L18" s="564"/>
      <c r="M18" s="562"/>
      <c r="N18" s="563"/>
      <c r="O18" s="84"/>
      <c r="P18" s="11"/>
    </row>
    <row r="19" spans="1:16">
      <c r="A19" s="13"/>
      <c r="B19" s="9"/>
      <c r="C19" s="11"/>
      <c r="I19" s="17"/>
      <c r="J19" s="11"/>
      <c r="K19" s="11"/>
      <c r="L19" s="564"/>
      <c r="M19" s="82"/>
      <c r="N19" s="84"/>
      <c r="O19" s="84"/>
      <c r="P19" s="11"/>
    </row>
    <row r="20" spans="1:16">
      <c r="A20" s="13" t="s">
        <v>302</v>
      </c>
      <c r="B20" s="9" t="s">
        <v>303</v>
      </c>
      <c r="I20" s="31">
        <v>0</v>
      </c>
      <c r="J20" s="11"/>
      <c r="K20" s="11"/>
      <c r="L20" s="564"/>
      <c r="M20" s="562"/>
      <c r="N20" s="563"/>
      <c r="O20" s="84"/>
      <c r="P20" s="11"/>
    </row>
    <row r="21" spans="1:16">
      <c r="A21" s="13" t="s">
        <v>304</v>
      </c>
      <c r="B21" s="9" t="s">
        <v>305</v>
      </c>
      <c r="I21" s="31">
        <v>0</v>
      </c>
      <c r="J21" s="11"/>
      <c r="K21" s="11"/>
      <c r="L21" s="564"/>
      <c r="M21" s="562"/>
      <c r="N21" s="563"/>
      <c r="O21" s="84"/>
      <c r="P21" s="11"/>
    </row>
    <row r="22" spans="1:16" ht="16.5" thickBot="1">
      <c r="A22" s="13" t="s">
        <v>306</v>
      </c>
      <c r="B22" s="9" t="s">
        <v>307</v>
      </c>
      <c r="I22" s="32">
        <f>I20+I21</f>
        <v>0</v>
      </c>
      <c r="J22" s="11"/>
      <c r="K22" s="11"/>
      <c r="L22" s="564"/>
      <c r="M22" s="562"/>
      <c r="N22" s="563"/>
      <c r="O22" s="84"/>
      <c r="P22" s="11"/>
    </row>
    <row r="23" spans="1:16">
      <c r="A23" s="13"/>
      <c r="B23" s="9"/>
      <c r="C23" s="11"/>
      <c r="I23" s="17"/>
      <c r="J23" s="11"/>
      <c r="K23" s="11"/>
      <c r="L23" s="564"/>
      <c r="M23" s="82"/>
      <c r="N23" s="84"/>
      <c r="O23" s="84"/>
      <c r="P23" s="11"/>
    </row>
    <row r="24" spans="1:16" ht="16.5" thickBot="1">
      <c r="A24" s="13">
        <v>7</v>
      </c>
      <c r="B24" s="9" t="s">
        <v>16</v>
      </c>
      <c r="C24" s="11" t="s">
        <v>314</v>
      </c>
      <c r="D24" s="30" t="s">
        <v>2</v>
      </c>
      <c r="E24" s="17"/>
      <c r="F24" s="17"/>
      <c r="G24" s="17"/>
      <c r="H24" s="17"/>
      <c r="I24" s="33">
        <f>+I11-I18+I22</f>
        <v>2528568.8739914573</v>
      </c>
      <c r="J24" s="11"/>
      <c r="K24" s="11"/>
      <c r="L24" s="565"/>
      <c r="M24" s="562"/>
      <c r="N24" s="563"/>
      <c r="O24" s="84"/>
      <c r="P24" s="11"/>
    </row>
    <row r="25" spans="1:16" ht="16.5" thickTop="1">
      <c r="A25" s="13"/>
      <c r="B25" s="9"/>
      <c r="C25" s="17"/>
      <c r="I25" s="551"/>
      <c r="J25" s="75"/>
      <c r="K25" s="550"/>
      <c r="L25" s="84"/>
      <c r="M25" s="82"/>
      <c r="N25" s="84"/>
      <c r="O25" s="84"/>
      <c r="P25" s="11"/>
    </row>
    <row r="26" spans="1:16">
      <c r="A26" s="13" t="s">
        <v>2</v>
      </c>
      <c r="B26" s="9" t="s">
        <v>17</v>
      </c>
      <c r="C26" s="11"/>
      <c r="D26" s="24"/>
      <c r="E26" s="11"/>
      <c r="F26" s="11"/>
      <c r="G26" s="11"/>
      <c r="H26" s="11"/>
      <c r="I26" s="552"/>
      <c r="J26" s="11"/>
      <c r="K26" s="11"/>
      <c r="L26" s="84"/>
      <c r="M26" s="82"/>
      <c r="N26" s="84"/>
      <c r="O26" s="84"/>
      <c r="P26" s="11"/>
    </row>
    <row r="27" spans="1:16">
      <c r="A27" s="13">
        <v>8</v>
      </c>
      <c r="B27" s="9" t="s">
        <v>18</v>
      </c>
      <c r="D27" s="24"/>
      <c r="E27" s="11"/>
      <c r="F27" s="11"/>
      <c r="G27" s="11" t="s">
        <v>19</v>
      </c>
      <c r="H27" s="11"/>
      <c r="I27" s="28">
        <v>0</v>
      </c>
      <c r="J27" s="11"/>
      <c r="K27" s="11"/>
      <c r="L27" s="84"/>
      <c r="M27" s="562"/>
      <c r="N27" s="563"/>
      <c r="O27" s="84"/>
      <c r="P27" s="11"/>
    </row>
    <row r="28" spans="1:16">
      <c r="A28" s="13">
        <v>9</v>
      </c>
      <c r="B28" s="9" t="s">
        <v>20</v>
      </c>
      <c r="C28" s="17"/>
      <c r="D28" s="17"/>
      <c r="E28" s="17"/>
      <c r="F28" s="17"/>
      <c r="G28" s="17" t="s">
        <v>21</v>
      </c>
      <c r="H28" s="17"/>
      <c r="I28" s="28">
        <v>0</v>
      </c>
      <c r="J28" s="11"/>
      <c r="K28" s="11"/>
      <c r="L28" s="84"/>
      <c r="M28" s="562"/>
      <c r="N28" s="563"/>
      <c r="O28" s="84"/>
      <c r="P28" s="11"/>
    </row>
    <row r="29" spans="1:16">
      <c r="A29" s="13">
        <v>10</v>
      </c>
      <c r="B29" s="9" t="s">
        <v>22</v>
      </c>
      <c r="C29" s="11"/>
      <c r="D29" s="11"/>
      <c r="E29" s="11"/>
      <c r="F29" s="11"/>
      <c r="G29" s="11" t="s">
        <v>23</v>
      </c>
      <c r="H29" s="11"/>
      <c r="I29" s="28">
        <v>0</v>
      </c>
      <c r="J29" s="11"/>
      <c r="K29" s="11"/>
      <c r="L29" s="84"/>
      <c r="M29" s="562"/>
      <c r="N29" s="563"/>
      <c r="O29" s="84"/>
      <c r="P29" s="11"/>
    </row>
    <row r="30" spans="1:16">
      <c r="A30" s="13">
        <v>11</v>
      </c>
      <c r="B30" s="34" t="s">
        <v>24</v>
      </c>
      <c r="C30" s="11"/>
      <c r="D30" s="11"/>
      <c r="E30" s="11"/>
      <c r="F30" s="11"/>
      <c r="G30" s="11" t="s">
        <v>25</v>
      </c>
      <c r="H30" s="11"/>
      <c r="I30" s="28">
        <v>0</v>
      </c>
      <c r="J30" s="11"/>
      <c r="K30" s="11"/>
      <c r="L30" s="84"/>
      <c r="M30" s="562"/>
      <c r="N30" s="563"/>
      <c r="O30" s="84"/>
      <c r="P30" s="11"/>
    </row>
    <row r="31" spans="1:16">
      <c r="A31" s="13">
        <v>12</v>
      </c>
      <c r="B31" s="34" t="s">
        <v>26</v>
      </c>
      <c r="C31" s="11"/>
      <c r="D31" s="11"/>
      <c r="E31" s="11"/>
      <c r="F31" s="11"/>
      <c r="G31" s="11"/>
      <c r="H31" s="11"/>
      <c r="I31" s="28">
        <v>0</v>
      </c>
      <c r="J31" s="11"/>
      <c r="K31" s="11"/>
      <c r="L31" s="84"/>
      <c r="M31" s="562"/>
      <c r="N31" s="563"/>
      <c r="O31" s="84"/>
      <c r="P31" s="11"/>
    </row>
    <row r="32" spans="1:16">
      <c r="A32" s="13">
        <v>13</v>
      </c>
      <c r="B32" s="34" t="s">
        <v>176</v>
      </c>
      <c r="C32" s="11"/>
      <c r="D32" s="11"/>
      <c r="E32" s="11"/>
      <c r="F32" s="11"/>
      <c r="G32" s="11"/>
      <c r="H32" s="11"/>
      <c r="I32" s="35">
        <v>0</v>
      </c>
      <c r="J32" s="11"/>
      <c r="K32" s="11"/>
      <c r="L32" s="84"/>
      <c r="M32" s="562"/>
      <c r="N32" s="563"/>
      <c r="O32" s="84"/>
      <c r="P32" s="11"/>
    </row>
    <row r="33" spans="1:16" ht="16.5" thickBot="1">
      <c r="A33" s="13">
        <v>14</v>
      </c>
      <c r="B33" s="9" t="s">
        <v>170</v>
      </c>
      <c r="C33" s="11"/>
      <c r="D33" s="11"/>
      <c r="E33" s="11"/>
      <c r="F33" s="11"/>
      <c r="G33" s="11"/>
      <c r="H33" s="11"/>
      <c r="I33" s="36">
        <v>0</v>
      </c>
      <c r="J33" s="11"/>
      <c r="K33" s="11"/>
      <c r="L33" s="84"/>
      <c r="M33" s="562"/>
      <c r="N33" s="563"/>
      <c r="O33" s="84"/>
      <c r="P33" s="11"/>
    </row>
    <row r="34" spans="1:16">
      <c r="A34" s="13">
        <v>15</v>
      </c>
      <c r="B34" s="9" t="s">
        <v>209</v>
      </c>
      <c r="C34" s="11"/>
      <c r="D34" s="11"/>
      <c r="E34" s="11"/>
      <c r="F34" s="11"/>
      <c r="G34" s="11"/>
      <c r="H34" s="11"/>
      <c r="I34" s="24">
        <f>SUM(I27:I33)</f>
        <v>0</v>
      </c>
      <c r="J34" s="11"/>
      <c r="K34" s="11"/>
      <c r="L34" s="84"/>
      <c r="M34" s="562"/>
      <c r="N34" s="563"/>
      <c r="O34" s="84"/>
      <c r="P34" s="11"/>
    </row>
    <row r="35" spans="1:16">
      <c r="A35" s="13"/>
      <c r="B35" s="9"/>
      <c r="C35" s="11"/>
      <c r="D35" s="11"/>
      <c r="E35" s="11"/>
      <c r="F35" s="11"/>
      <c r="G35" s="11"/>
      <c r="H35" s="11"/>
      <c r="I35" s="24"/>
      <c r="J35" s="11"/>
      <c r="K35" s="11"/>
      <c r="L35" s="84"/>
      <c r="M35" s="82"/>
      <c r="N35" s="84"/>
      <c r="O35" s="84"/>
      <c r="P35" s="11"/>
    </row>
    <row r="36" spans="1:16">
      <c r="A36" s="13">
        <v>16</v>
      </c>
      <c r="B36" s="9" t="s">
        <v>27</v>
      </c>
      <c r="C36" s="11" t="s">
        <v>208</v>
      </c>
      <c r="D36" s="37">
        <f>IF(I34&gt;0,I24/I34,0)</f>
        <v>0</v>
      </c>
      <c r="E36" s="11"/>
      <c r="F36" s="11"/>
      <c r="G36" s="11"/>
      <c r="H36" s="11"/>
      <c r="J36" s="11"/>
      <c r="K36" s="11"/>
      <c r="L36" s="84"/>
      <c r="M36" s="82"/>
      <c r="N36" s="84"/>
      <c r="O36" s="84"/>
      <c r="P36" s="11"/>
    </row>
    <row r="37" spans="1:16">
      <c r="A37" s="13">
        <v>17</v>
      </c>
      <c r="B37" s="9" t="s">
        <v>301</v>
      </c>
      <c r="C37" s="11"/>
      <c r="D37" s="37">
        <f>+D36/12</f>
        <v>0</v>
      </c>
      <c r="E37" s="11"/>
      <c r="F37" s="11"/>
      <c r="G37" s="11"/>
      <c r="H37" s="11"/>
      <c r="J37" s="11"/>
      <c r="K37" s="11"/>
      <c r="L37" s="84"/>
      <c r="M37" s="82"/>
      <c r="N37" s="84"/>
      <c r="O37" s="84"/>
      <c r="P37" s="11"/>
    </row>
    <row r="38" spans="1:16">
      <c r="A38" s="13"/>
      <c r="B38" s="9"/>
      <c r="C38" s="11"/>
      <c r="D38" s="37"/>
      <c r="E38" s="11"/>
      <c r="F38" s="11"/>
      <c r="G38" s="11"/>
      <c r="H38" s="11"/>
      <c r="J38" s="11"/>
      <c r="K38" s="11"/>
      <c r="L38" s="84"/>
      <c r="M38" s="82"/>
      <c r="N38" s="84"/>
      <c r="O38" s="84"/>
      <c r="P38" s="11"/>
    </row>
    <row r="39" spans="1:16">
      <c r="A39" s="13"/>
      <c r="B39" s="9"/>
      <c r="C39" s="11"/>
      <c r="D39" s="38" t="s">
        <v>28</v>
      </c>
      <c r="E39" s="11"/>
      <c r="F39" s="11"/>
      <c r="G39" s="11"/>
      <c r="H39" s="11"/>
      <c r="I39" s="39" t="s">
        <v>29</v>
      </c>
      <c r="J39" s="11"/>
      <c r="K39" s="11"/>
      <c r="L39" s="84"/>
      <c r="M39" s="82"/>
      <c r="N39" s="84"/>
      <c r="O39" s="84"/>
      <c r="P39" s="11"/>
    </row>
    <row r="40" spans="1:16">
      <c r="A40" s="13">
        <v>18</v>
      </c>
      <c r="B40" s="9" t="s">
        <v>30</v>
      </c>
      <c r="C40" s="11" t="s">
        <v>210</v>
      </c>
      <c r="D40" s="37">
        <f>+D36/52</f>
        <v>0</v>
      </c>
      <c r="E40" s="11"/>
      <c r="F40" s="11"/>
      <c r="G40" s="11"/>
      <c r="H40" s="11"/>
      <c r="I40" s="40">
        <f>+D36/52</f>
        <v>0</v>
      </c>
      <c r="J40" s="11"/>
      <c r="K40" s="11"/>
      <c r="L40" s="84"/>
      <c r="M40" s="82"/>
      <c r="N40" s="84"/>
      <c r="O40" s="84"/>
      <c r="P40" s="11"/>
    </row>
    <row r="41" spans="1:16">
      <c r="A41" s="13">
        <v>19</v>
      </c>
      <c r="B41" s="9" t="s">
        <v>31</v>
      </c>
      <c r="C41" s="11" t="s">
        <v>249</v>
      </c>
      <c r="D41" s="37">
        <f>+D36/260</f>
        <v>0</v>
      </c>
      <c r="E41" s="11" t="s">
        <v>32</v>
      </c>
      <c r="G41" s="11"/>
      <c r="H41" s="11"/>
      <c r="I41" s="40">
        <f>+D36/365</f>
        <v>0</v>
      </c>
      <c r="J41" s="11"/>
      <c r="K41" s="11"/>
      <c r="L41" s="84"/>
      <c r="M41" s="82"/>
      <c r="N41" s="84"/>
      <c r="O41" s="84"/>
      <c r="P41" s="11"/>
    </row>
    <row r="42" spans="1:16">
      <c r="A42" s="13">
        <v>20</v>
      </c>
      <c r="B42" s="9" t="s">
        <v>33</v>
      </c>
      <c r="C42" s="11" t="s">
        <v>250</v>
      </c>
      <c r="D42" s="37">
        <f>+D36/4160*1000</f>
        <v>0</v>
      </c>
      <c r="E42" s="11" t="s">
        <v>34</v>
      </c>
      <c r="G42" s="11"/>
      <c r="H42" s="11"/>
      <c r="I42" s="40">
        <f>+D36/8760*1000</f>
        <v>0</v>
      </c>
      <c r="J42" s="11"/>
      <c r="K42" s="11" t="s">
        <v>2</v>
      </c>
      <c r="L42" s="84"/>
      <c r="M42" s="82"/>
      <c r="N42" s="84"/>
      <c r="O42" s="84"/>
      <c r="P42" s="11"/>
    </row>
    <row r="43" spans="1:16">
      <c r="A43" s="13"/>
      <c r="B43" s="9"/>
      <c r="C43" s="11" t="s">
        <v>35</v>
      </c>
      <c r="D43" s="11"/>
      <c r="E43" s="11" t="s">
        <v>36</v>
      </c>
      <c r="G43" s="11"/>
      <c r="H43" s="11"/>
      <c r="J43" s="11"/>
      <c r="K43" s="11" t="s">
        <v>2</v>
      </c>
      <c r="L43" s="84"/>
      <c r="M43" s="82"/>
      <c r="N43" s="84"/>
      <c r="O43" s="84"/>
      <c r="P43" s="11"/>
    </row>
    <row r="44" spans="1:16">
      <c r="A44" s="13"/>
      <c r="B44" s="9"/>
      <c r="C44" s="11"/>
      <c r="D44" s="11"/>
      <c r="E44" s="11"/>
      <c r="G44" s="11"/>
      <c r="H44" s="11"/>
      <c r="J44" s="11"/>
      <c r="K44" s="11" t="s">
        <v>2</v>
      </c>
      <c r="L44" s="84"/>
      <c r="M44" s="82"/>
      <c r="N44" s="84"/>
      <c r="O44" s="84"/>
      <c r="P44" s="11"/>
    </row>
    <row r="45" spans="1:16">
      <c r="A45" s="13">
        <v>21</v>
      </c>
      <c r="B45" s="9" t="s">
        <v>211</v>
      </c>
      <c r="C45" s="11" t="s">
        <v>203</v>
      </c>
      <c r="D45" s="41">
        <v>0</v>
      </c>
      <c r="E45" s="42" t="s">
        <v>37</v>
      </c>
      <c r="F45" s="42"/>
      <c r="G45" s="42"/>
      <c r="H45" s="42"/>
      <c r="I45" s="42">
        <f>D45</f>
        <v>0</v>
      </c>
      <c r="J45" s="42" t="s">
        <v>37</v>
      </c>
      <c r="K45" s="11"/>
      <c r="L45" s="84"/>
      <c r="M45" s="82"/>
      <c r="N45" s="84"/>
      <c r="O45" s="84"/>
      <c r="P45" s="11"/>
    </row>
    <row r="46" spans="1:16">
      <c r="A46" s="13">
        <v>22</v>
      </c>
      <c r="B46" s="9"/>
      <c r="C46" s="11"/>
      <c r="D46" s="41">
        <v>0</v>
      </c>
      <c r="E46" s="42" t="s">
        <v>38</v>
      </c>
      <c r="F46" s="42"/>
      <c r="G46" s="42"/>
      <c r="H46" s="42"/>
      <c r="I46" s="42">
        <f>D46</f>
        <v>0</v>
      </c>
      <c r="J46" s="42" t="s">
        <v>38</v>
      </c>
      <c r="K46" s="11"/>
      <c r="L46" s="84"/>
      <c r="M46" s="82"/>
      <c r="N46" s="84"/>
      <c r="O46" s="84"/>
      <c r="P46" s="11"/>
    </row>
    <row r="47" spans="1:16">
      <c r="J47" s="11"/>
      <c r="K47" s="11"/>
      <c r="L47" s="84"/>
      <c r="M47" s="82"/>
      <c r="N47" s="84"/>
      <c r="O47" s="84"/>
      <c r="P47" s="11"/>
    </row>
    <row r="48" spans="1:16">
      <c r="J48" s="11"/>
      <c r="K48" s="11"/>
      <c r="L48" s="84"/>
      <c r="M48" s="82"/>
      <c r="N48" s="84"/>
      <c r="O48" s="84"/>
      <c r="P48" s="11"/>
    </row>
    <row r="49" spans="10:16">
      <c r="J49" s="11"/>
      <c r="K49" s="11"/>
      <c r="L49" s="84"/>
      <c r="M49" s="82"/>
      <c r="N49" s="84"/>
      <c r="O49" s="84"/>
      <c r="P49" s="11"/>
    </row>
    <row r="50" spans="10:16">
      <c r="J50" s="11"/>
      <c r="K50" s="11"/>
      <c r="L50" s="84"/>
      <c r="M50" s="82"/>
      <c r="N50" s="84"/>
      <c r="O50" s="84"/>
      <c r="P50" s="11"/>
    </row>
    <row r="51" spans="10:16">
      <c r="J51" s="11"/>
      <c r="K51" s="11"/>
      <c r="L51" s="84"/>
      <c r="M51" s="82"/>
      <c r="N51" s="84"/>
      <c r="O51" s="84"/>
      <c r="P51" s="11"/>
    </row>
    <row r="52" spans="10:16">
      <c r="J52" s="11"/>
      <c r="K52" s="11"/>
      <c r="L52" s="84"/>
      <c r="M52" s="82"/>
      <c r="N52" s="84"/>
      <c r="O52" s="84"/>
      <c r="P52" s="11"/>
    </row>
    <row r="53" spans="10:16">
      <c r="J53" s="11"/>
      <c r="K53" s="11"/>
      <c r="L53" s="84"/>
      <c r="M53" s="82"/>
      <c r="N53" s="84"/>
      <c r="O53" s="84"/>
      <c r="P53" s="11"/>
    </row>
    <row r="54" spans="10:16">
      <c r="J54" s="11"/>
      <c r="K54" s="11"/>
      <c r="L54" s="84"/>
      <c r="M54" s="82"/>
      <c r="N54" s="84"/>
      <c r="O54" s="84"/>
      <c r="P54" s="11"/>
    </row>
    <row r="55" spans="10:16">
      <c r="J55" s="11"/>
      <c r="K55" s="11"/>
      <c r="L55" s="84"/>
      <c r="M55" s="82"/>
      <c r="N55" s="84"/>
      <c r="O55" s="84"/>
      <c r="P55" s="11"/>
    </row>
    <row r="56" spans="10:16">
      <c r="J56" s="11"/>
      <c r="K56" s="11"/>
      <c r="L56" s="84"/>
      <c r="M56" s="82"/>
      <c r="N56" s="84"/>
      <c r="O56" s="84"/>
      <c r="P56" s="11"/>
    </row>
    <row r="57" spans="10:16">
      <c r="J57" s="11"/>
      <c r="K57" s="11"/>
      <c r="L57" s="84"/>
      <c r="M57" s="82"/>
      <c r="N57" s="84"/>
      <c r="O57" s="84"/>
      <c r="P57" s="11"/>
    </row>
    <row r="58" spans="10:16">
      <c r="J58" s="11"/>
      <c r="K58" s="11"/>
      <c r="L58" s="84"/>
      <c r="M58" s="82"/>
      <c r="N58" s="84"/>
      <c r="O58" s="84"/>
      <c r="P58" s="11"/>
    </row>
    <row r="59" spans="10:16">
      <c r="J59" s="11"/>
      <c r="K59" s="11"/>
      <c r="L59" s="84"/>
      <c r="M59" s="82"/>
      <c r="N59" s="84"/>
      <c r="O59" s="84"/>
      <c r="P59" s="11"/>
    </row>
    <row r="60" spans="10:16">
      <c r="J60" s="11"/>
      <c r="K60" s="11"/>
      <c r="L60" s="84"/>
      <c r="M60" s="82"/>
      <c r="N60" s="84"/>
      <c r="O60" s="84"/>
      <c r="P60" s="11"/>
    </row>
    <row r="61" spans="10:16">
      <c r="J61" s="11"/>
      <c r="K61" s="11"/>
      <c r="L61" s="84"/>
      <c r="M61" s="82"/>
      <c r="N61" s="84"/>
      <c r="O61" s="84"/>
      <c r="P61" s="11"/>
    </row>
    <row r="62" spans="10:16">
      <c r="J62" s="11"/>
      <c r="K62" s="11"/>
      <c r="L62" s="84"/>
      <c r="M62" s="82"/>
      <c r="N62" s="84"/>
      <c r="O62" s="84"/>
      <c r="P62" s="11"/>
    </row>
    <row r="63" spans="10:16">
      <c r="J63" s="11"/>
      <c r="K63" s="11"/>
      <c r="L63" s="84"/>
      <c r="M63" s="82"/>
      <c r="N63" s="84"/>
      <c r="O63" s="84"/>
      <c r="P63" s="11"/>
    </row>
    <row r="64" spans="10:16">
      <c r="J64" s="11"/>
      <c r="K64" s="11"/>
      <c r="L64" s="84"/>
      <c r="M64" s="82"/>
      <c r="N64" s="84"/>
      <c r="O64" s="84"/>
      <c r="P64" s="11"/>
    </row>
    <row r="65" spans="1:16">
      <c r="J65" s="11"/>
      <c r="K65" s="11"/>
      <c r="L65" s="84"/>
      <c r="M65" s="82"/>
      <c r="N65" s="84"/>
      <c r="O65" s="84"/>
      <c r="P65" s="11"/>
    </row>
    <row r="66" spans="1:16">
      <c r="J66" s="11"/>
      <c r="K66" s="11"/>
      <c r="L66" s="84"/>
      <c r="M66" s="82"/>
      <c r="N66" s="84"/>
      <c r="O66" s="84"/>
      <c r="P66" s="11"/>
    </row>
    <row r="67" spans="1:16">
      <c r="J67" s="11"/>
      <c r="K67" s="11"/>
      <c r="L67" s="84"/>
      <c r="M67" s="82"/>
      <c r="N67" s="84"/>
      <c r="O67" s="84"/>
      <c r="P67" s="11"/>
    </row>
    <row r="68" spans="1:16">
      <c r="J68" s="11"/>
      <c r="K68" s="11"/>
      <c r="L68" s="84"/>
      <c r="M68" s="82"/>
      <c r="N68" s="84"/>
      <c r="O68" s="84"/>
      <c r="P68" s="11"/>
    </row>
    <row r="69" spans="1:16">
      <c r="J69" s="11"/>
      <c r="K69" s="11"/>
      <c r="L69" s="84"/>
      <c r="M69" s="82"/>
      <c r="N69" s="84"/>
      <c r="O69" s="84"/>
      <c r="P69" s="11"/>
    </row>
    <row r="70" spans="1:16">
      <c r="J70" s="11"/>
      <c r="K70" s="11"/>
      <c r="L70" s="84"/>
      <c r="M70" s="82"/>
      <c r="N70" s="84"/>
      <c r="O70" s="84"/>
      <c r="P70" s="11"/>
    </row>
    <row r="71" spans="1:16">
      <c r="J71" s="11"/>
      <c r="K71" s="11"/>
      <c r="L71" s="84"/>
      <c r="M71" s="82"/>
      <c r="N71" s="84"/>
      <c r="O71" s="84"/>
      <c r="P71" s="11"/>
    </row>
    <row r="72" spans="1:16">
      <c r="J72" s="11"/>
      <c r="K72" s="7" t="s">
        <v>300</v>
      </c>
      <c r="L72" s="84"/>
      <c r="M72" s="82"/>
      <c r="N72" s="84"/>
      <c r="O72" s="84"/>
      <c r="P72" s="11"/>
    </row>
    <row r="73" spans="1:16">
      <c r="B73" s="9"/>
      <c r="C73" s="9"/>
      <c r="D73" s="10"/>
      <c r="E73" s="9"/>
      <c r="F73" s="9"/>
      <c r="G73" s="9"/>
      <c r="H73" s="11"/>
      <c r="I73" s="11"/>
      <c r="K73" s="12" t="s">
        <v>185</v>
      </c>
      <c r="L73" s="584"/>
      <c r="M73" s="82"/>
      <c r="N73" s="84"/>
      <c r="O73" s="84"/>
      <c r="P73" s="11"/>
    </row>
    <row r="74" spans="1:16">
      <c r="B74" s="11"/>
      <c r="C74" s="11"/>
      <c r="D74" s="11"/>
      <c r="E74" s="11"/>
      <c r="F74" s="11"/>
      <c r="G74" s="11"/>
      <c r="H74" s="11"/>
      <c r="I74" s="11"/>
      <c r="J74" s="11"/>
      <c r="K74" s="11"/>
      <c r="L74" s="84"/>
      <c r="M74" s="82"/>
      <c r="N74" s="84"/>
      <c r="O74" s="84"/>
      <c r="P74" s="11"/>
    </row>
    <row r="75" spans="1:16">
      <c r="B75" s="9" t="str">
        <f>B4</f>
        <v xml:space="preserve">Formula Rate - Non-Levelized </v>
      </c>
      <c r="C75" s="9"/>
      <c r="D75" s="10" t="str">
        <f>D4</f>
        <v xml:space="preserve">   Rate Formula Template</v>
      </c>
      <c r="E75" s="9"/>
      <c r="F75" s="9"/>
      <c r="G75" s="9"/>
      <c r="H75" s="9"/>
      <c r="J75" s="9"/>
      <c r="K75" s="12" t="str">
        <f>K4</f>
        <v>For the 12 months ended 4/30/16</v>
      </c>
      <c r="L75" s="84"/>
      <c r="M75" s="82"/>
      <c r="N75" s="86"/>
      <c r="O75" s="86"/>
      <c r="P75" s="9"/>
    </row>
    <row r="76" spans="1:16">
      <c r="B76" s="9"/>
      <c r="C76" s="17" t="s">
        <v>2</v>
      </c>
      <c r="D76" s="17" t="str">
        <f>D5</f>
        <v>Utilizing EIA Form 412 Data</v>
      </c>
      <c r="E76" s="17"/>
      <c r="F76" s="17"/>
      <c r="G76" s="17"/>
      <c r="H76" s="17"/>
      <c r="I76" s="17"/>
      <c r="J76" s="17"/>
      <c r="K76" s="17"/>
      <c r="L76" s="84"/>
      <c r="M76" s="82"/>
      <c r="N76" s="84"/>
      <c r="O76" s="85"/>
      <c r="P76" s="9"/>
    </row>
    <row r="77" spans="1:16">
      <c r="B77" s="9"/>
      <c r="C77" s="17" t="s">
        <v>2</v>
      </c>
      <c r="D77" s="17" t="s">
        <v>2</v>
      </c>
      <c r="E77" s="17"/>
      <c r="F77" s="17"/>
      <c r="G77" s="17" t="s">
        <v>2</v>
      </c>
      <c r="H77" s="17"/>
      <c r="I77" s="17"/>
      <c r="J77" s="17"/>
      <c r="K77" s="17"/>
      <c r="L77" s="86"/>
      <c r="M77" s="82"/>
      <c r="N77" s="85"/>
      <c r="O77" s="85"/>
      <c r="P77" s="9"/>
    </row>
    <row r="78" spans="1:16">
      <c r="B78" s="9"/>
      <c r="C78" s="11"/>
      <c r="D78" s="17" t="str">
        <f>D7</f>
        <v>CITY OF ALEXANDRIA</v>
      </c>
      <c r="E78" s="17"/>
      <c r="F78" s="17"/>
      <c r="G78" s="17"/>
      <c r="H78" s="17"/>
      <c r="I78" s="17"/>
      <c r="J78" s="17"/>
      <c r="K78" s="17"/>
      <c r="L78" s="86"/>
      <c r="M78" s="82"/>
      <c r="N78" s="85"/>
      <c r="O78" s="85"/>
      <c r="P78" s="9"/>
    </row>
    <row r="79" spans="1:16">
      <c r="B79" s="13" t="s">
        <v>39</v>
      </c>
      <c r="C79" s="13" t="s">
        <v>40</v>
      </c>
      <c r="D79" s="13" t="s">
        <v>41</v>
      </c>
      <c r="E79" s="17" t="s">
        <v>2</v>
      </c>
      <c r="F79" s="17"/>
      <c r="G79" s="43" t="s">
        <v>42</v>
      </c>
      <c r="H79" s="17"/>
      <c r="I79" s="44" t="s">
        <v>43</v>
      </c>
      <c r="J79" s="17"/>
      <c r="K79" s="13"/>
      <c r="L79" s="86"/>
      <c r="M79" s="82"/>
      <c r="N79" s="535"/>
      <c r="O79" s="85"/>
      <c r="P79" s="9"/>
    </row>
    <row r="80" spans="1:16">
      <c r="A80" s="13" t="s">
        <v>4</v>
      </c>
      <c r="B80" s="9"/>
      <c r="C80" s="45" t="s">
        <v>44</v>
      </c>
      <c r="D80" s="17"/>
      <c r="E80" s="17"/>
      <c r="F80" s="17"/>
      <c r="G80" s="13"/>
      <c r="H80" s="17"/>
      <c r="I80" s="46" t="s">
        <v>45</v>
      </c>
      <c r="J80" s="17"/>
      <c r="K80" s="13"/>
      <c r="L80" s="86"/>
      <c r="M80" s="82"/>
      <c r="N80" s="535"/>
      <c r="O80" s="535"/>
      <c r="P80" s="9"/>
    </row>
    <row r="81" spans="1:16" ht="16.5" thickBot="1">
      <c r="A81" s="23" t="s">
        <v>6</v>
      </c>
      <c r="B81" s="47" t="s">
        <v>50</v>
      </c>
      <c r="C81" s="48" t="s">
        <v>46</v>
      </c>
      <c r="D81" s="46" t="s">
        <v>47</v>
      </c>
      <c r="E81" s="49"/>
      <c r="F81" s="46" t="s">
        <v>48</v>
      </c>
      <c r="H81" s="49"/>
      <c r="I81" s="13" t="s">
        <v>49</v>
      </c>
      <c r="J81" s="17"/>
      <c r="K81" s="13"/>
      <c r="L81" s="86"/>
      <c r="M81" s="82"/>
      <c r="N81" s="535"/>
      <c r="O81" s="535"/>
      <c r="P81" s="9"/>
    </row>
    <row r="82" spans="1:16">
      <c r="A82" s="13"/>
      <c r="B82" s="9" t="s">
        <v>281</v>
      </c>
      <c r="C82" s="17"/>
      <c r="D82" s="17"/>
      <c r="E82" s="17"/>
      <c r="F82" s="17"/>
      <c r="G82" s="17"/>
      <c r="H82" s="17"/>
      <c r="I82" s="17"/>
      <c r="J82" s="17"/>
      <c r="K82" s="17"/>
      <c r="L82" s="86"/>
      <c r="M82" s="82"/>
      <c r="N82" s="85"/>
      <c r="O82" s="85"/>
      <c r="P82" s="9"/>
    </row>
    <row r="83" spans="1:16">
      <c r="A83" s="13">
        <v>1</v>
      </c>
      <c r="B83" s="9" t="s">
        <v>51</v>
      </c>
      <c r="C83" s="17" t="s">
        <v>251</v>
      </c>
      <c r="D83" s="518">
        <f>'EIA 412 Sch 4'!G16</f>
        <v>115525050.97999999</v>
      </c>
      <c r="E83" s="17"/>
      <c r="F83" s="17" t="s">
        <v>52</v>
      </c>
      <c r="G83" s="51" t="s">
        <v>2</v>
      </c>
      <c r="H83" s="17"/>
      <c r="I83" s="17" t="s">
        <v>2</v>
      </c>
      <c r="J83" s="17"/>
      <c r="K83" s="17"/>
      <c r="L83" s="84"/>
      <c r="M83" s="562"/>
      <c r="N83" s="563"/>
      <c r="O83" s="85"/>
      <c r="P83" s="9"/>
    </row>
    <row r="84" spans="1:16">
      <c r="A84" s="13">
        <v>2</v>
      </c>
      <c r="B84" s="9" t="s">
        <v>53</v>
      </c>
      <c r="C84" s="17" t="s">
        <v>252</v>
      </c>
      <c r="D84" s="518">
        <f>'EIA 412 Sch 4'!G18</f>
        <v>17888259.302999996</v>
      </c>
      <c r="E84" s="17"/>
      <c r="F84" s="17" t="s">
        <v>12</v>
      </c>
      <c r="G84" s="51">
        <f>I220</f>
        <v>1</v>
      </c>
      <c r="H84" s="17"/>
      <c r="I84" s="17">
        <f>+G84*D84</f>
        <v>17888259.302999996</v>
      </c>
      <c r="J84" s="17"/>
      <c r="K84" s="17"/>
      <c r="L84" s="85"/>
      <c r="M84" s="562"/>
      <c r="N84" s="563"/>
      <c r="O84" s="85"/>
      <c r="P84" s="9"/>
    </row>
    <row r="85" spans="1:16">
      <c r="A85" s="13">
        <v>3</v>
      </c>
      <c r="B85" s="9" t="s">
        <v>54</v>
      </c>
      <c r="C85" s="17" t="s">
        <v>253</v>
      </c>
      <c r="D85" s="518">
        <f>'EIA 412 Sch 4'!G19</f>
        <v>61922437.387000002</v>
      </c>
      <c r="E85" s="17"/>
      <c r="F85" s="17" t="s">
        <v>52</v>
      </c>
      <c r="G85" s="51" t="s">
        <v>2</v>
      </c>
      <c r="H85" s="17"/>
      <c r="I85" s="17" t="s">
        <v>2</v>
      </c>
      <c r="J85" s="17"/>
      <c r="K85" s="17"/>
      <c r="L85" s="85"/>
      <c r="M85" s="562"/>
      <c r="N85" s="563"/>
      <c r="O85" s="85"/>
      <c r="P85" s="9"/>
    </row>
    <row r="86" spans="1:16">
      <c r="A86" s="13">
        <v>4</v>
      </c>
      <c r="B86" s="9" t="s">
        <v>55</v>
      </c>
      <c r="C86" s="17" t="s">
        <v>282</v>
      </c>
      <c r="D86" s="518">
        <f>'EIA 412 Sch 4'!G20+'EIA 412 Sch 4'!G10</f>
        <v>4223416.0600000005</v>
      </c>
      <c r="E86" s="17"/>
      <c r="F86" s="17" t="s">
        <v>56</v>
      </c>
      <c r="G86" s="51">
        <f>I236</f>
        <v>5.3834060081911862E-2</v>
      </c>
      <c r="H86" s="17"/>
      <c r="I86" s="17">
        <f>+G86*D86</f>
        <v>227363.63392495151</v>
      </c>
      <c r="J86" s="17"/>
      <c r="K86" s="17"/>
      <c r="L86" s="85"/>
      <c r="M86" s="562"/>
      <c r="N86" s="563"/>
      <c r="O86" s="535"/>
      <c r="P86" s="9"/>
    </row>
    <row r="87" spans="1:16" ht="16.5" thickBot="1">
      <c r="A87" s="13">
        <v>5</v>
      </c>
      <c r="B87" s="9" t="s">
        <v>57</v>
      </c>
      <c r="C87" s="17"/>
      <c r="D87" s="519">
        <f>'WP - Allocation Factors'!C20</f>
        <v>0</v>
      </c>
      <c r="E87" s="17"/>
      <c r="F87" s="17" t="s">
        <v>58</v>
      </c>
      <c r="G87" s="51">
        <f>K240</f>
        <v>0</v>
      </c>
      <c r="H87" s="17"/>
      <c r="I87" s="29">
        <f>+G87*D87</f>
        <v>0</v>
      </c>
      <c r="J87" s="17"/>
      <c r="K87" s="17"/>
      <c r="L87" s="85"/>
      <c r="M87" s="562"/>
      <c r="N87" s="563"/>
      <c r="O87" s="535"/>
      <c r="P87" s="9"/>
    </row>
    <row r="88" spans="1:16">
      <c r="A88" s="13">
        <v>6</v>
      </c>
      <c r="B88" s="9" t="s">
        <v>212</v>
      </c>
      <c r="C88" s="17"/>
      <c r="D88" s="520">
        <f>SUM(D83:D87)</f>
        <v>199559163.72999999</v>
      </c>
      <c r="E88" s="17"/>
      <c r="F88" s="17" t="s">
        <v>59</v>
      </c>
      <c r="G88" s="53">
        <f>IF(I88&gt;0,I88/D88,0)</f>
        <v>9.0778206313968435E-2</v>
      </c>
      <c r="H88" s="17"/>
      <c r="I88" s="17">
        <f>SUM(I83:I87)</f>
        <v>18115622.936924946</v>
      </c>
      <c r="J88" s="17"/>
      <c r="K88" s="53"/>
      <c r="L88" s="85"/>
      <c r="M88" s="562"/>
      <c r="N88" s="563"/>
      <c r="O88" s="85"/>
      <c r="P88" s="9"/>
    </row>
    <row r="89" spans="1:16">
      <c r="B89" s="9"/>
      <c r="C89" s="17"/>
      <c r="D89" s="520"/>
      <c r="E89" s="17"/>
      <c r="F89" s="17"/>
      <c r="G89" s="53"/>
      <c r="H89" s="17"/>
      <c r="I89" s="17"/>
      <c r="J89" s="17"/>
      <c r="K89" s="53"/>
      <c r="L89" s="85"/>
      <c r="M89" s="563"/>
      <c r="N89" s="85"/>
      <c r="O89" s="85"/>
      <c r="P89" s="9"/>
    </row>
    <row r="90" spans="1:16">
      <c r="B90" s="9" t="s">
        <v>283</v>
      </c>
      <c r="C90" s="17"/>
      <c r="D90" s="520"/>
      <c r="E90" s="17"/>
      <c r="F90" s="17"/>
      <c r="G90" s="17"/>
      <c r="H90" s="17"/>
      <c r="I90" s="17"/>
      <c r="J90" s="17"/>
      <c r="K90" s="17"/>
      <c r="L90" s="85"/>
      <c r="M90" s="563"/>
      <c r="N90" s="85"/>
      <c r="O90" s="85"/>
      <c r="P90" s="9"/>
    </row>
    <row r="91" spans="1:16">
      <c r="A91" s="13">
        <v>7</v>
      </c>
      <c r="B91" s="9" t="str">
        <f>+B83</f>
        <v xml:space="preserve">  Production</v>
      </c>
      <c r="D91" s="521">
        <f>'WP - Plant Functionalization'!C20</f>
        <v>2202375.37</v>
      </c>
      <c r="E91" s="17"/>
      <c r="F91" s="17" t="str">
        <f t="shared" ref="F91:G95" si="0">+F83</f>
        <v>NA</v>
      </c>
      <c r="G91" s="51" t="str">
        <f t="shared" si="0"/>
        <v xml:space="preserve"> </v>
      </c>
      <c r="H91" s="17"/>
      <c r="I91" s="17" t="s">
        <v>2</v>
      </c>
      <c r="J91" s="17"/>
      <c r="K91" s="17"/>
      <c r="L91" s="85"/>
      <c r="M91" s="562"/>
      <c r="N91" s="563"/>
      <c r="O91" s="85"/>
      <c r="P91" s="9"/>
    </row>
    <row r="92" spans="1:16">
      <c r="A92" s="13">
        <v>8</v>
      </c>
      <c r="B92" s="9" t="str">
        <f>+B84</f>
        <v xml:space="preserve">  Transmission</v>
      </c>
      <c r="D92" s="521">
        <f>'WP - Plant Functionalization'!C21</f>
        <v>10577534.220825888</v>
      </c>
      <c r="E92" s="17"/>
      <c r="F92" s="17" t="str">
        <f t="shared" si="0"/>
        <v>TP</v>
      </c>
      <c r="G92" s="51">
        <f t="shared" si="0"/>
        <v>1</v>
      </c>
      <c r="H92" s="17"/>
      <c r="I92" s="17">
        <f>+G92*D92</f>
        <v>10577534.220825888</v>
      </c>
      <c r="J92" s="17"/>
      <c r="K92" s="17"/>
      <c r="L92" s="85"/>
      <c r="M92" s="562"/>
      <c r="N92" s="563"/>
      <c r="O92" s="85"/>
      <c r="P92" s="9"/>
    </row>
    <row r="93" spans="1:16">
      <c r="A93" s="13">
        <v>9</v>
      </c>
      <c r="B93" s="9" t="str">
        <f>+B85</f>
        <v xml:space="preserve">  Distribution</v>
      </c>
      <c r="D93" s="521">
        <f>'WP - Plant Functionalization'!C22</f>
        <v>35969735.468507417</v>
      </c>
      <c r="E93" s="17"/>
      <c r="F93" s="17" t="str">
        <f t="shared" si="0"/>
        <v>NA</v>
      </c>
      <c r="G93" s="51" t="str">
        <f t="shared" si="0"/>
        <v xml:space="preserve"> </v>
      </c>
      <c r="H93" s="17"/>
      <c r="I93" s="17" t="s">
        <v>2</v>
      </c>
      <c r="J93" s="17"/>
      <c r="K93" s="17"/>
      <c r="L93" s="85"/>
      <c r="M93" s="562"/>
      <c r="N93" s="563"/>
      <c r="O93" s="85"/>
      <c r="P93" s="9"/>
    </row>
    <row r="94" spans="1:16">
      <c r="A94" s="13">
        <v>10</v>
      </c>
      <c r="B94" s="9" t="str">
        <f>+B86</f>
        <v xml:space="preserve">  General &amp; Intangible</v>
      </c>
      <c r="D94" s="521">
        <f>'WP - Plant Functionalization'!C23</f>
        <v>3262068.2799999989</v>
      </c>
      <c r="E94" s="17"/>
      <c r="F94" s="17" t="str">
        <f t="shared" si="0"/>
        <v>W/S</v>
      </c>
      <c r="G94" s="51">
        <f t="shared" si="0"/>
        <v>5.3834060081911862E-2</v>
      </c>
      <c r="H94" s="17"/>
      <c r="I94" s="17">
        <f>+G94*D94</f>
        <v>175610.37977681882</v>
      </c>
      <c r="J94" s="17"/>
      <c r="K94" s="17"/>
      <c r="L94" s="85"/>
      <c r="M94" s="562"/>
      <c r="N94" s="563"/>
      <c r="O94" s="535"/>
      <c r="P94" s="9"/>
    </row>
    <row r="95" spans="1:16" ht="16.5" thickBot="1">
      <c r="A95" s="13">
        <v>11</v>
      </c>
      <c r="B95" s="9" t="str">
        <f>+B87</f>
        <v xml:space="preserve">  Common</v>
      </c>
      <c r="C95" s="17"/>
      <c r="D95" s="519">
        <v>0</v>
      </c>
      <c r="E95" s="17"/>
      <c r="F95" s="17" t="str">
        <f t="shared" si="0"/>
        <v>CE</v>
      </c>
      <c r="G95" s="51">
        <f t="shared" si="0"/>
        <v>0</v>
      </c>
      <c r="H95" s="17"/>
      <c r="I95" s="29">
        <f>+G95*D95</f>
        <v>0</v>
      </c>
      <c r="J95" s="17"/>
      <c r="K95" s="17"/>
      <c r="L95" s="85"/>
      <c r="M95" s="562"/>
      <c r="N95" s="563"/>
      <c r="O95" s="535"/>
      <c r="P95" s="9"/>
    </row>
    <row r="96" spans="1:16">
      <c r="A96" s="13">
        <v>12</v>
      </c>
      <c r="B96" s="9" t="s">
        <v>213</v>
      </c>
      <c r="C96" s="17"/>
      <c r="D96" s="520">
        <f>SUM(D91:D95)</f>
        <v>52011713.339333311</v>
      </c>
      <c r="E96" s="17"/>
      <c r="F96" s="17"/>
      <c r="G96" s="17"/>
      <c r="H96" s="17"/>
      <c r="I96" s="17">
        <f>SUM(I91:I95)</f>
        <v>10753144.600602707</v>
      </c>
      <c r="J96" s="17"/>
      <c r="K96" s="17"/>
      <c r="L96" s="85"/>
      <c r="M96" s="562"/>
      <c r="N96" s="563"/>
      <c r="O96" s="85"/>
      <c r="P96" s="9"/>
    </row>
    <row r="97" spans="1:16">
      <c r="A97" s="13"/>
      <c r="C97" s="17" t="s">
        <v>2</v>
      </c>
      <c r="E97" s="17"/>
      <c r="F97" s="17"/>
      <c r="G97" s="53"/>
      <c r="H97" s="17"/>
      <c r="J97" s="17"/>
      <c r="K97" s="53"/>
      <c r="L97" s="82"/>
      <c r="M97" s="82"/>
      <c r="N97" s="85"/>
      <c r="O97" s="85"/>
      <c r="P97" s="9"/>
    </row>
    <row r="98" spans="1:16">
      <c r="A98" s="13"/>
      <c r="B98" s="9" t="s">
        <v>60</v>
      </c>
      <c r="C98" s="17"/>
      <c r="D98" s="17"/>
      <c r="E98" s="17"/>
      <c r="F98" s="17"/>
      <c r="G98" s="17"/>
      <c r="H98" s="17"/>
      <c r="I98" s="17"/>
      <c r="J98" s="17"/>
      <c r="K98" s="17"/>
      <c r="L98" s="85"/>
      <c r="M98" s="82"/>
      <c r="N98" s="85"/>
      <c r="O98" s="85"/>
      <c r="P98" s="9"/>
    </row>
    <row r="99" spans="1:16">
      <c r="A99" s="13">
        <v>13</v>
      </c>
      <c r="B99" s="9" t="str">
        <f>+B91</f>
        <v xml:space="preserve">  Production</v>
      </c>
      <c r="C99" s="17" t="s">
        <v>214</v>
      </c>
      <c r="D99" s="17">
        <f>D83-D91</f>
        <v>113322675.60999998</v>
      </c>
      <c r="E99" s="17"/>
      <c r="F99" s="17"/>
      <c r="G99" s="53"/>
      <c r="H99" s="17"/>
      <c r="I99" s="17" t="s">
        <v>2</v>
      </c>
      <c r="J99" s="17"/>
      <c r="K99" s="53"/>
      <c r="L99" s="85"/>
      <c r="M99" s="82"/>
      <c r="N99" s="85"/>
      <c r="O99" s="85"/>
      <c r="P99" s="9"/>
    </row>
    <row r="100" spans="1:16">
      <c r="A100" s="13">
        <v>14</v>
      </c>
      <c r="B100" s="9" t="str">
        <f>+B92</f>
        <v xml:space="preserve">  Transmission</v>
      </c>
      <c r="C100" s="17" t="s">
        <v>215</v>
      </c>
      <c r="D100" s="17">
        <f>D84-D92</f>
        <v>7310725.0821741074</v>
      </c>
      <c r="E100" s="17"/>
      <c r="F100" s="17"/>
      <c r="G100" s="51"/>
      <c r="H100" s="17"/>
      <c r="I100" s="17">
        <f>I84-I92</f>
        <v>7310725.0821741074</v>
      </c>
      <c r="J100" s="17"/>
      <c r="K100" s="53"/>
      <c r="L100" s="85"/>
      <c r="M100" s="562"/>
      <c r="N100" s="563"/>
      <c r="O100" s="85"/>
      <c r="P100" s="9"/>
    </row>
    <row r="101" spans="1:16">
      <c r="A101" s="13">
        <v>15</v>
      </c>
      <c r="B101" s="9" t="str">
        <f>+B93</f>
        <v xml:space="preserve">  Distribution</v>
      </c>
      <c r="C101" s="17" t="s">
        <v>216</v>
      </c>
      <c r="D101" s="17">
        <f>D85-D93</f>
        <v>25952701.918492585</v>
      </c>
      <c r="E101" s="17"/>
      <c r="F101" s="17"/>
      <c r="G101" s="53"/>
      <c r="H101" s="17"/>
      <c r="I101" s="17" t="s">
        <v>2</v>
      </c>
      <c r="J101" s="17"/>
      <c r="K101" s="53"/>
      <c r="L101" s="85"/>
      <c r="M101" s="562"/>
      <c r="N101" s="563"/>
      <c r="O101" s="85"/>
      <c r="P101" s="9"/>
    </row>
    <row r="102" spans="1:16">
      <c r="A102" s="13">
        <v>16</v>
      </c>
      <c r="B102" s="9" t="str">
        <f>+B94</f>
        <v xml:space="preserve">  General &amp; Intangible</v>
      </c>
      <c r="C102" s="17" t="s">
        <v>217</v>
      </c>
      <c r="D102" s="17">
        <f>D86-D94</f>
        <v>961347.78000000166</v>
      </c>
      <c r="E102" s="17"/>
      <c r="F102" s="17"/>
      <c r="G102" s="53"/>
      <c r="H102" s="17"/>
      <c r="I102" s="17">
        <f>I86-I94</f>
        <v>51753.254148132692</v>
      </c>
      <c r="J102" s="17"/>
      <c r="K102" s="53"/>
      <c r="L102" s="85"/>
      <c r="M102" s="562"/>
      <c r="N102" s="563"/>
      <c r="O102" s="535"/>
      <c r="P102" s="9"/>
    </row>
    <row r="103" spans="1:16" ht="16.5" thickBot="1">
      <c r="A103" s="13">
        <v>17</v>
      </c>
      <c r="B103" s="9" t="str">
        <f>+B95</f>
        <v xml:space="preserve">  Common</v>
      </c>
      <c r="C103" s="17" t="s">
        <v>218</v>
      </c>
      <c r="D103" s="29">
        <f>D87-D95</f>
        <v>0</v>
      </c>
      <c r="E103" s="17"/>
      <c r="F103" s="17"/>
      <c r="G103" s="53"/>
      <c r="H103" s="17"/>
      <c r="I103" s="29">
        <f>I87-I95</f>
        <v>0</v>
      </c>
      <c r="J103" s="17"/>
      <c r="K103" s="53"/>
      <c r="L103" s="85"/>
      <c r="M103" s="562"/>
      <c r="N103" s="563"/>
      <c r="O103" s="535"/>
      <c r="P103" s="9"/>
    </row>
    <row r="104" spans="1:16">
      <c r="A104" s="13">
        <v>18</v>
      </c>
      <c r="B104" s="9" t="s">
        <v>219</v>
      </c>
      <c r="C104" s="17"/>
      <c r="D104" s="17">
        <f>SUM(D99:D103)</f>
        <v>147547450.39066669</v>
      </c>
      <c r="E104" s="17"/>
      <c r="F104" s="17" t="s">
        <v>61</v>
      </c>
      <c r="G104" s="53">
        <f>IF(I104&gt;0,I104/D104,0)</f>
        <v>4.9899054960477744E-2</v>
      </c>
      <c r="H104" s="17"/>
      <c r="I104" s="17">
        <f>SUM(I99:I103)</f>
        <v>7362478.3363222405</v>
      </c>
      <c r="J104" s="17"/>
      <c r="K104" s="17"/>
      <c r="L104" s="85"/>
      <c r="M104" s="562"/>
      <c r="N104" s="563"/>
      <c r="O104" s="85"/>
      <c r="P104" s="9"/>
    </row>
    <row r="105" spans="1:16">
      <c r="A105" s="13"/>
      <c r="C105" s="17"/>
      <c r="E105" s="17"/>
      <c r="H105" s="17"/>
      <c r="J105" s="17"/>
      <c r="K105" s="53"/>
      <c r="L105" s="82"/>
      <c r="M105" s="82"/>
      <c r="N105" s="85"/>
      <c r="O105" s="85"/>
      <c r="P105" s="9"/>
    </row>
    <row r="106" spans="1:16">
      <c r="A106" s="13"/>
      <c r="B106" s="9" t="s">
        <v>220</v>
      </c>
      <c r="C106" s="17"/>
      <c r="D106" s="17"/>
      <c r="E106" s="17"/>
      <c r="F106" s="17"/>
      <c r="G106" s="17"/>
      <c r="H106" s="17"/>
      <c r="I106" s="17"/>
      <c r="J106" s="17"/>
      <c r="K106" s="17"/>
      <c r="L106" s="85"/>
      <c r="M106" s="82"/>
      <c r="N106" s="85"/>
      <c r="O106" s="85"/>
      <c r="P106" s="9"/>
    </row>
    <row r="107" spans="1:16">
      <c r="A107" s="13">
        <v>19</v>
      </c>
      <c r="B107" s="9" t="s">
        <v>62</v>
      </c>
      <c r="C107" s="17"/>
      <c r="D107" s="54">
        <v>0</v>
      </c>
      <c r="E107" s="17"/>
      <c r="F107" s="17"/>
      <c r="G107" s="55" t="s">
        <v>177</v>
      </c>
      <c r="H107" s="17"/>
      <c r="I107" s="17">
        <v>0</v>
      </c>
      <c r="J107" s="17"/>
      <c r="K107" s="53"/>
      <c r="L107" s="85"/>
      <c r="M107" s="562"/>
      <c r="N107" s="563"/>
      <c r="O107" s="535"/>
      <c r="P107" s="9"/>
    </row>
    <row r="108" spans="1:16">
      <c r="A108" s="13">
        <v>20</v>
      </c>
      <c r="B108" s="9" t="s">
        <v>64</v>
      </c>
      <c r="C108" s="17"/>
      <c r="D108" s="54">
        <v>0</v>
      </c>
      <c r="E108" s="17"/>
      <c r="F108" s="17" t="s">
        <v>63</v>
      </c>
      <c r="G108" s="51">
        <f>+G104</f>
        <v>4.9899054960477744E-2</v>
      </c>
      <c r="H108" s="17"/>
      <c r="I108" s="17">
        <f>D108*G108</f>
        <v>0</v>
      </c>
      <c r="J108" s="17"/>
      <c r="K108" s="53"/>
      <c r="L108" s="85"/>
      <c r="M108" s="562"/>
      <c r="N108" s="563"/>
      <c r="O108" s="535"/>
      <c r="P108" s="9"/>
    </row>
    <row r="109" spans="1:16">
      <c r="A109" s="13">
        <v>21</v>
      </c>
      <c r="B109" s="9" t="s">
        <v>65</v>
      </c>
      <c r="C109" s="17"/>
      <c r="D109" s="50">
        <v>0</v>
      </c>
      <c r="E109" s="17"/>
      <c r="F109" s="17" t="s">
        <v>63</v>
      </c>
      <c r="G109" s="51">
        <f>+G108</f>
        <v>4.9899054960477744E-2</v>
      </c>
      <c r="H109" s="17"/>
      <c r="I109" s="17">
        <f>D109*G109</f>
        <v>0</v>
      </c>
      <c r="J109" s="17"/>
      <c r="K109" s="53"/>
      <c r="L109" s="85"/>
      <c r="M109" s="562"/>
      <c r="N109" s="563"/>
      <c r="O109" s="535"/>
      <c r="P109" s="9"/>
    </row>
    <row r="110" spans="1:16">
      <c r="A110" s="13">
        <v>22</v>
      </c>
      <c r="B110" s="9" t="s">
        <v>66</v>
      </c>
      <c r="C110" s="17"/>
      <c r="D110" s="50">
        <v>0</v>
      </c>
      <c r="E110" s="17"/>
      <c r="F110" s="17" t="str">
        <f>+F109</f>
        <v>NP</v>
      </c>
      <c r="G110" s="51">
        <f>+G109</f>
        <v>4.9899054960477744E-2</v>
      </c>
      <c r="H110" s="17"/>
      <c r="I110" s="17">
        <f>D110*G110</f>
        <v>0</v>
      </c>
      <c r="J110" s="17"/>
      <c r="K110" s="53"/>
      <c r="L110" s="85"/>
      <c r="M110" s="562"/>
      <c r="N110" s="563"/>
      <c r="O110" s="535"/>
      <c r="P110" s="9"/>
    </row>
    <row r="111" spans="1:16" ht="16.5" thickBot="1">
      <c r="A111" s="13">
        <v>23</v>
      </c>
      <c r="B111" s="6" t="s">
        <v>67</v>
      </c>
      <c r="D111" s="52">
        <v>0</v>
      </c>
      <c r="E111" s="17"/>
      <c r="F111" s="17" t="s">
        <v>63</v>
      </c>
      <c r="G111" s="51">
        <f>+G109</f>
        <v>4.9899054960477744E-2</v>
      </c>
      <c r="H111" s="17"/>
      <c r="I111" s="29">
        <f>D111*G111</f>
        <v>0</v>
      </c>
      <c r="J111" s="17"/>
      <c r="K111" s="17"/>
      <c r="L111" s="85"/>
      <c r="M111" s="562"/>
      <c r="N111" s="563"/>
      <c r="O111" s="85"/>
      <c r="P111" s="9"/>
    </row>
    <row r="112" spans="1:16">
      <c r="A112" s="13">
        <v>24</v>
      </c>
      <c r="B112" s="9" t="s">
        <v>68</v>
      </c>
      <c r="C112" s="17"/>
      <c r="D112" s="17">
        <f>SUM(D107:D111)</f>
        <v>0</v>
      </c>
      <c r="E112" s="17"/>
      <c r="F112" s="17"/>
      <c r="G112" s="17"/>
      <c r="H112" s="17"/>
      <c r="I112" s="17">
        <f>SUM(I107:I111)</f>
        <v>0</v>
      </c>
      <c r="J112" s="17"/>
      <c r="K112" s="53"/>
      <c r="L112" s="85"/>
      <c r="M112" s="562"/>
      <c r="N112" s="563"/>
      <c r="O112" s="85"/>
      <c r="P112" s="9"/>
    </row>
    <row r="113" spans="1:16">
      <c r="A113" s="13"/>
      <c r="B113" s="9"/>
      <c r="C113" s="17"/>
      <c r="D113" s="17"/>
      <c r="E113" s="17"/>
      <c r="F113" s="17"/>
      <c r="G113" s="17"/>
      <c r="H113" s="17"/>
      <c r="I113" s="17"/>
      <c r="J113" s="17"/>
      <c r="K113" s="53"/>
      <c r="L113" s="85"/>
      <c r="M113" s="563"/>
      <c r="N113" s="85"/>
      <c r="O113" s="85"/>
      <c r="P113" s="9"/>
    </row>
    <row r="114" spans="1:16">
      <c r="A114" s="13">
        <v>25</v>
      </c>
      <c r="B114" s="9" t="s">
        <v>69</v>
      </c>
      <c r="C114" s="17" t="s">
        <v>254</v>
      </c>
      <c r="D114" s="54">
        <v>0</v>
      </c>
      <c r="E114" s="17"/>
      <c r="F114" s="17" t="str">
        <f>+F92</f>
        <v>TP</v>
      </c>
      <c r="G114" s="51">
        <f>+G92</f>
        <v>1</v>
      </c>
      <c r="H114" s="17"/>
      <c r="I114" s="17">
        <f>+G114*D114</f>
        <v>0</v>
      </c>
      <c r="J114" s="17"/>
      <c r="K114" s="17"/>
      <c r="L114" s="85"/>
      <c r="M114" s="562"/>
      <c r="N114" s="563"/>
      <c r="O114" s="85"/>
      <c r="P114" s="9"/>
    </row>
    <row r="115" spans="1:16">
      <c r="A115" s="13"/>
      <c r="B115" s="9"/>
      <c r="C115" s="17"/>
      <c r="D115" s="17"/>
      <c r="E115" s="17"/>
      <c r="F115" s="17"/>
      <c r="G115" s="17"/>
      <c r="H115" s="17"/>
      <c r="I115" s="17"/>
      <c r="J115" s="17"/>
      <c r="K115" s="17"/>
      <c r="L115" s="85"/>
      <c r="M115" s="563"/>
      <c r="N115" s="85"/>
      <c r="O115" s="85"/>
      <c r="P115" s="9"/>
    </row>
    <row r="116" spans="1:16">
      <c r="A116" s="13"/>
      <c r="B116" s="9" t="s">
        <v>70</v>
      </c>
      <c r="C116" s="17" t="s">
        <v>72</v>
      </c>
      <c r="D116" s="17"/>
      <c r="E116" s="17"/>
      <c r="F116" s="17"/>
      <c r="G116" s="17"/>
      <c r="H116" s="17"/>
      <c r="I116" s="17"/>
      <c r="J116" s="17"/>
      <c r="K116" s="17"/>
      <c r="L116" s="85"/>
      <c r="M116" s="563"/>
      <c r="N116" s="85"/>
      <c r="O116" s="85"/>
      <c r="P116" s="9"/>
    </row>
    <row r="117" spans="1:16">
      <c r="A117" s="13">
        <v>26</v>
      </c>
      <c r="B117" s="9" t="s">
        <v>71</v>
      </c>
      <c r="D117" s="17">
        <f>D158/8</f>
        <v>1126174.5788799841</v>
      </c>
      <c r="E117" s="17"/>
      <c r="F117" s="17"/>
      <c r="G117" s="53"/>
      <c r="H117" s="17"/>
      <c r="I117" s="17">
        <f>I158/8</f>
        <v>157802.91149776711</v>
      </c>
      <c r="J117" s="11"/>
      <c r="K117" s="53"/>
      <c r="L117" s="85"/>
      <c r="M117" s="562"/>
      <c r="N117" s="563"/>
      <c r="O117" s="567"/>
      <c r="P117" s="9"/>
    </row>
    <row r="118" spans="1:16">
      <c r="A118" s="13">
        <v>27</v>
      </c>
      <c r="B118" s="9" t="s">
        <v>73</v>
      </c>
      <c r="C118" s="6" t="s">
        <v>221</v>
      </c>
      <c r="D118" s="521">
        <f>'EIA 412 Sch 2 Electric'!C41*'WP - Allocation Factors'!E17</f>
        <v>195233.48462972351</v>
      </c>
      <c r="E118" s="17"/>
      <c r="F118" s="17" t="s">
        <v>74</v>
      </c>
      <c r="G118" s="51">
        <f>I229</f>
        <v>1</v>
      </c>
      <c r="H118" s="17"/>
      <c r="I118" s="17">
        <f>G118*D118</f>
        <v>195233.48462972351</v>
      </c>
      <c r="J118" s="17" t="s">
        <v>2</v>
      </c>
      <c r="K118" s="53"/>
      <c r="L118" s="85"/>
      <c r="M118" s="562"/>
      <c r="N118" s="563"/>
      <c r="O118" s="567"/>
      <c r="P118" s="9"/>
    </row>
    <row r="119" spans="1:16" ht="16.5" thickBot="1">
      <c r="A119" s="13">
        <v>28</v>
      </c>
      <c r="B119" s="9" t="s">
        <v>75</v>
      </c>
      <c r="C119" s="6" t="s">
        <v>255</v>
      </c>
      <c r="D119" s="52">
        <v>0</v>
      </c>
      <c r="E119" s="17"/>
      <c r="F119" s="17" t="s">
        <v>76</v>
      </c>
      <c r="G119" s="51">
        <f>+G88</f>
        <v>9.0778206313968435E-2</v>
      </c>
      <c r="H119" s="17"/>
      <c r="I119" s="29">
        <f>+G119*D119</f>
        <v>0</v>
      </c>
      <c r="J119" s="17"/>
      <c r="K119" s="53"/>
      <c r="L119" s="85"/>
      <c r="M119" s="562"/>
      <c r="N119" s="563"/>
      <c r="O119" s="535"/>
      <c r="P119" s="9"/>
    </row>
    <row r="120" spans="1:16">
      <c r="A120" s="13">
        <v>29</v>
      </c>
      <c r="B120" s="9" t="s">
        <v>222</v>
      </c>
      <c r="C120" s="11"/>
      <c r="D120" s="17">
        <f>D117+D118+D119</f>
        <v>1321408.0635097076</v>
      </c>
      <c r="E120" s="11"/>
      <c r="F120" s="11"/>
      <c r="G120" s="11"/>
      <c r="H120" s="11"/>
      <c r="I120" s="17">
        <f>I117+I118+I119</f>
        <v>353036.39612749062</v>
      </c>
      <c r="J120" s="11"/>
      <c r="K120" s="11"/>
      <c r="L120" s="85"/>
      <c r="M120" s="562"/>
      <c r="N120" s="563"/>
      <c r="O120" s="85"/>
      <c r="P120" s="9"/>
    </row>
    <row r="121" spans="1:16" ht="16.5" thickBot="1">
      <c r="C121" s="17"/>
      <c r="D121" s="57"/>
      <c r="E121" s="17"/>
      <c r="F121" s="17"/>
      <c r="G121" s="17"/>
      <c r="H121" s="17"/>
      <c r="I121" s="57"/>
      <c r="J121" s="17"/>
      <c r="K121" s="17"/>
      <c r="L121" s="82"/>
      <c r="M121" s="82"/>
      <c r="N121" s="85"/>
      <c r="O121" s="85"/>
      <c r="P121" s="9"/>
    </row>
    <row r="122" spans="1:16" ht="16.5" thickBot="1">
      <c r="A122" s="13">
        <v>30</v>
      </c>
      <c r="B122" s="9" t="s">
        <v>77</v>
      </c>
      <c r="C122" s="17"/>
      <c r="D122" s="58">
        <f>+D120+D114+D112+D104</f>
        <v>148868858.4541764</v>
      </c>
      <c r="E122" s="17"/>
      <c r="F122" s="17"/>
      <c r="G122" s="53"/>
      <c r="H122" s="17"/>
      <c r="I122" s="58">
        <f>+I120+I114+I112+I104</f>
        <v>7715514.7324497309</v>
      </c>
      <c r="J122" s="17"/>
      <c r="K122" s="53"/>
      <c r="L122" s="85"/>
      <c r="M122" s="562"/>
      <c r="N122" s="563"/>
      <c r="O122" s="85"/>
      <c r="P122" s="9"/>
    </row>
    <row r="123" spans="1:16" ht="16.5" thickTop="1">
      <c r="A123" s="13"/>
      <c r="B123" s="9"/>
      <c r="C123" s="17"/>
      <c r="D123" s="17"/>
      <c r="E123" s="17"/>
      <c r="F123" s="17"/>
      <c r="G123" s="17"/>
      <c r="H123" s="17"/>
      <c r="I123" s="17"/>
      <c r="J123" s="17"/>
      <c r="K123" s="17"/>
      <c r="L123" s="84"/>
      <c r="M123" s="82"/>
      <c r="N123" s="85"/>
      <c r="O123" s="85"/>
      <c r="P123" s="9"/>
    </row>
    <row r="124" spans="1:16">
      <c r="A124" s="13"/>
      <c r="B124" s="9"/>
      <c r="C124" s="17"/>
      <c r="D124" s="17"/>
      <c r="E124" s="17"/>
      <c r="F124" s="17"/>
      <c r="G124" s="17"/>
      <c r="H124" s="17"/>
      <c r="I124" s="17"/>
      <c r="J124" s="17"/>
      <c r="K124" s="17"/>
      <c r="L124" s="84"/>
      <c r="M124" s="82"/>
      <c r="N124" s="85"/>
      <c r="O124" s="85"/>
      <c r="P124" s="9"/>
    </row>
    <row r="125" spans="1:16">
      <c r="A125" s="13"/>
      <c r="B125" s="9"/>
      <c r="C125" s="17"/>
      <c r="D125" s="17"/>
      <c r="E125" s="17"/>
      <c r="F125" s="17"/>
      <c r="G125" s="17"/>
      <c r="H125" s="17"/>
      <c r="I125" s="17"/>
      <c r="J125" s="17"/>
      <c r="K125" s="17"/>
      <c r="L125" s="84"/>
      <c r="M125" s="82"/>
      <c r="N125" s="85"/>
      <c r="O125" s="85"/>
      <c r="P125" s="9"/>
    </row>
    <row r="126" spans="1:16">
      <c r="A126" s="13"/>
      <c r="B126" s="9"/>
      <c r="C126" s="17"/>
      <c r="D126" s="17"/>
      <c r="E126" s="17"/>
      <c r="F126" s="17"/>
      <c r="G126" s="17"/>
      <c r="H126" s="17"/>
      <c r="I126" s="17"/>
      <c r="J126" s="17"/>
      <c r="K126" s="17"/>
      <c r="L126" s="84"/>
      <c r="M126" s="82"/>
      <c r="N126" s="85"/>
      <c r="O126" s="85"/>
      <c r="P126" s="9"/>
    </row>
    <row r="127" spans="1:16">
      <c r="A127" s="13"/>
      <c r="B127" s="9"/>
      <c r="C127" s="17"/>
      <c r="D127" s="17"/>
      <c r="E127" s="17"/>
      <c r="F127" s="17"/>
      <c r="G127" s="17"/>
      <c r="H127" s="17"/>
      <c r="I127" s="17"/>
      <c r="J127" s="17"/>
      <c r="K127" s="17"/>
      <c r="L127" s="84"/>
      <c r="M127" s="82"/>
      <c r="N127" s="85"/>
      <c r="O127" s="85"/>
      <c r="P127" s="9"/>
    </row>
    <row r="128" spans="1:16">
      <c r="A128" s="13"/>
      <c r="B128" s="9"/>
      <c r="C128" s="17"/>
      <c r="D128" s="17"/>
      <c r="E128" s="17"/>
      <c r="F128" s="17"/>
      <c r="G128" s="17"/>
      <c r="H128" s="17"/>
      <c r="I128" s="17"/>
      <c r="J128" s="17"/>
      <c r="K128" s="17"/>
      <c r="L128" s="84"/>
      <c r="M128" s="82"/>
      <c r="N128" s="85"/>
      <c r="O128" s="85"/>
      <c r="P128" s="9"/>
    </row>
    <row r="129" spans="1:16">
      <c r="A129" s="13"/>
      <c r="B129" s="9"/>
      <c r="C129" s="17"/>
      <c r="D129" s="17"/>
      <c r="E129" s="17"/>
      <c r="F129" s="17"/>
      <c r="G129" s="17"/>
      <c r="H129" s="17"/>
      <c r="I129" s="17"/>
      <c r="J129" s="17"/>
      <c r="K129" s="17"/>
      <c r="L129" s="84"/>
      <c r="M129" s="82"/>
      <c r="N129" s="85"/>
      <c r="O129" s="85"/>
      <c r="P129" s="9"/>
    </row>
    <row r="130" spans="1:16">
      <c r="A130" s="13"/>
      <c r="B130" s="9"/>
      <c r="C130" s="17"/>
      <c r="D130" s="17"/>
      <c r="E130" s="17"/>
      <c r="F130" s="17"/>
      <c r="G130" s="17"/>
      <c r="H130" s="17"/>
      <c r="I130" s="17"/>
      <c r="J130" s="17"/>
      <c r="K130" s="17"/>
      <c r="L130" s="84"/>
      <c r="M130" s="82"/>
      <c r="N130" s="85"/>
      <c r="O130" s="85"/>
      <c r="P130" s="9"/>
    </row>
    <row r="131" spans="1:16">
      <c r="A131" s="13"/>
      <c r="B131" s="9"/>
      <c r="C131" s="17"/>
      <c r="D131" s="17"/>
      <c r="E131" s="17"/>
      <c r="F131" s="17"/>
      <c r="G131" s="17"/>
      <c r="H131" s="17"/>
      <c r="I131" s="17"/>
      <c r="J131" s="17"/>
      <c r="K131" s="17"/>
      <c r="L131" s="84"/>
      <c r="M131" s="82"/>
      <c r="N131" s="85"/>
      <c r="O131" s="85"/>
      <c r="P131" s="9"/>
    </row>
    <row r="132" spans="1:16">
      <c r="A132" s="13"/>
      <c r="B132" s="9"/>
      <c r="C132" s="17"/>
      <c r="D132" s="17"/>
      <c r="E132" s="17"/>
      <c r="F132" s="17"/>
      <c r="G132" s="17"/>
      <c r="H132" s="17"/>
      <c r="I132" s="17"/>
      <c r="J132" s="17"/>
      <c r="K132" s="17"/>
      <c r="L132" s="84"/>
      <c r="M132" s="82"/>
      <c r="N132" s="85"/>
      <c r="O132" s="85"/>
      <c r="P132" s="9"/>
    </row>
    <row r="133" spans="1:16">
      <c r="A133" s="13"/>
      <c r="B133" s="9"/>
      <c r="C133" s="17"/>
      <c r="D133" s="17"/>
      <c r="E133" s="17"/>
      <c r="F133" s="17"/>
      <c r="G133" s="17"/>
      <c r="H133" s="17"/>
      <c r="I133" s="17"/>
      <c r="J133" s="17"/>
      <c r="K133" s="17"/>
      <c r="L133" s="84"/>
      <c r="M133" s="82"/>
      <c r="N133" s="85"/>
      <c r="O133" s="85"/>
      <c r="P133" s="9"/>
    </row>
    <row r="134" spans="1:16">
      <c r="A134" s="13"/>
      <c r="B134" s="9"/>
      <c r="C134" s="17"/>
      <c r="D134" s="17"/>
      <c r="E134" s="17"/>
      <c r="F134" s="17"/>
      <c r="G134" s="17"/>
      <c r="H134" s="17"/>
      <c r="I134" s="17"/>
      <c r="J134" s="17"/>
      <c r="K134" s="17"/>
      <c r="L134" s="84"/>
      <c r="M134" s="82"/>
      <c r="N134" s="85"/>
      <c r="O134" s="85"/>
      <c r="P134" s="9"/>
    </row>
    <row r="135" spans="1:16">
      <c r="A135" s="13"/>
      <c r="B135" s="9"/>
      <c r="C135" s="17"/>
      <c r="D135" s="17"/>
      <c r="E135" s="17"/>
      <c r="F135" s="17"/>
      <c r="G135" s="17"/>
      <c r="H135" s="17"/>
      <c r="I135" s="17"/>
      <c r="J135" s="17"/>
      <c r="K135" s="17"/>
      <c r="L135" s="84"/>
      <c r="M135" s="82"/>
      <c r="N135" s="85"/>
      <c r="O135" s="85"/>
      <c r="P135" s="9"/>
    </row>
    <row r="136" spans="1:16">
      <c r="A136" s="13"/>
      <c r="B136" s="9"/>
      <c r="C136" s="17"/>
      <c r="D136" s="17"/>
      <c r="E136" s="17"/>
      <c r="F136" s="17"/>
      <c r="G136" s="17"/>
      <c r="H136" s="17"/>
      <c r="I136" s="17"/>
      <c r="J136" s="17"/>
      <c r="K136" s="17"/>
      <c r="L136" s="84"/>
      <c r="M136" s="82"/>
      <c r="N136" s="85"/>
      <c r="O136" s="85"/>
      <c r="P136" s="9"/>
    </row>
    <row r="137" spans="1:16">
      <c r="A137" s="13"/>
      <c r="B137" s="9"/>
      <c r="C137" s="17"/>
      <c r="D137" s="17"/>
      <c r="E137" s="17"/>
      <c r="F137" s="17"/>
      <c r="G137" s="17"/>
      <c r="H137" s="17"/>
      <c r="I137" s="17"/>
      <c r="J137" s="17"/>
      <c r="K137" s="17"/>
      <c r="L137" s="84"/>
      <c r="M137" s="82"/>
      <c r="N137" s="85"/>
      <c r="O137" s="85"/>
      <c r="P137" s="9"/>
    </row>
    <row r="138" spans="1:16">
      <c r="A138" s="13"/>
      <c r="B138" s="9"/>
      <c r="C138" s="17"/>
      <c r="D138" s="17"/>
      <c r="E138" s="17"/>
      <c r="F138" s="17"/>
      <c r="G138" s="17"/>
      <c r="H138" s="17"/>
      <c r="I138" s="17"/>
      <c r="J138" s="17"/>
      <c r="K138" s="7" t="s">
        <v>300</v>
      </c>
      <c r="L138" s="84"/>
      <c r="M138" s="82"/>
      <c r="N138" s="85"/>
      <c r="O138" s="85"/>
      <c r="P138" s="9"/>
    </row>
    <row r="139" spans="1:16">
      <c r="B139" s="9"/>
      <c r="C139" s="9"/>
      <c r="D139" s="10"/>
      <c r="E139" s="9"/>
      <c r="F139" s="9"/>
      <c r="G139" s="9"/>
      <c r="H139" s="11"/>
      <c r="I139" s="11"/>
      <c r="K139" s="12" t="s">
        <v>186</v>
      </c>
      <c r="L139" s="84"/>
      <c r="M139" s="82"/>
      <c r="N139" s="84"/>
      <c r="O139" s="84"/>
      <c r="P139" s="11"/>
    </row>
    <row r="140" spans="1:16">
      <c r="A140" s="13"/>
      <c r="B140" s="9"/>
      <c r="C140" s="17"/>
      <c r="D140" s="17"/>
      <c r="E140" s="17"/>
      <c r="F140" s="17"/>
      <c r="G140" s="17"/>
      <c r="H140" s="17"/>
      <c r="I140" s="17"/>
      <c r="J140" s="17"/>
      <c r="K140" s="17"/>
      <c r="L140" s="84"/>
      <c r="M140" s="82"/>
      <c r="N140" s="85"/>
      <c r="O140" s="85"/>
      <c r="P140" s="9"/>
    </row>
    <row r="141" spans="1:16">
      <c r="A141" s="13"/>
      <c r="B141" s="9" t="str">
        <f>B4</f>
        <v xml:space="preserve">Formula Rate - Non-Levelized </v>
      </c>
      <c r="C141" s="17"/>
      <c r="D141" s="17" t="str">
        <f>D4</f>
        <v xml:space="preserve">   Rate Formula Template</v>
      </c>
      <c r="E141" s="17"/>
      <c r="F141" s="17"/>
      <c r="G141" s="17"/>
      <c r="H141" s="17"/>
      <c r="J141" s="17"/>
      <c r="K141" s="59" t="str">
        <f>K4</f>
        <v>For the 12 months ended 4/30/16</v>
      </c>
      <c r="L141" s="86"/>
      <c r="M141" s="82"/>
      <c r="N141" s="85"/>
      <c r="O141" s="85"/>
      <c r="P141" s="9"/>
    </row>
    <row r="142" spans="1:16">
      <c r="A142" s="13"/>
      <c r="B142" s="9"/>
      <c r="C142" s="17"/>
      <c r="D142" s="17" t="str">
        <f>D5</f>
        <v>Utilizing EIA Form 412 Data</v>
      </c>
      <c r="E142" s="17"/>
      <c r="F142" s="17"/>
      <c r="G142" s="17"/>
      <c r="H142" s="17"/>
      <c r="I142" s="17"/>
      <c r="J142" s="17"/>
      <c r="K142" s="17"/>
      <c r="L142" s="86"/>
      <c r="M142" s="82"/>
      <c r="N142" s="85"/>
      <c r="O142" s="85"/>
      <c r="P142" s="9"/>
    </row>
    <row r="143" spans="1:16">
      <c r="A143" s="13"/>
      <c r="C143" s="17"/>
      <c r="D143" s="17"/>
      <c r="E143" s="17"/>
      <c r="F143" s="17"/>
      <c r="G143" s="17"/>
      <c r="H143" s="17"/>
      <c r="I143" s="17"/>
      <c r="J143" s="17"/>
      <c r="K143" s="17"/>
      <c r="L143" s="86"/>
      <c r="M143" s="82"/>
      <c r="N143" s="85"/>
      <c r="O143" s="85"/>
      <c r="P143" s="9"/>
    </row>
    <row r="144" spans="1:16">
      <c r="A144" s="13"/>
      <c r="D144" s="6" t="str">
        <f>D7</f>
        <v>CITY OF ALEXANDRIA</v>
      </c>
      <c r="J144" s="17"/>
      <c r="K144" s="17"/>
      <c r="L144" s="86"/>
      <c r="M144" s="82"/>
      <c r="N144" s="85"/>
      <c r="O144" s="85"/>
      <c r="P144" s="9"/>
    </row>
    <row r="145" spans="1:16">
      <c r="A145" s="13"/>
      <c r="B145" s="13" t="s">
        <v>39</v>
      </c>
      <c r="C145" s="13" t="s">
        <v>40</v>
      </c>
      <c r="D145" s="13" t="s">
        <v>41</v>
      </c>
      <c r="E145" s="17" t="s">
        <v>2</v>
      </c>
      <c r="F145" s="17"/>
      <c r="G145" s="43" t="s">
        <v>42</v>
      </c>
      <c r="H145" s="17"/>
      <c r="I145" s="44" t="s">
        <v>43</v>
      </c>
      <c r="J145" s="17"/>
      <c r="K145" s="17"/>
      <c r="L145" s="86"/>
      <c r="M145" s="82"/>
      <c r="N145" s="84"/>
      <c r="O145" s="85"/>
      <c r="P145" s="9"/>
    </row>
    <row r="146" spans="1:16">
      <c r="A146" s="13" t="s">
        <v>4</v>
      </c>
      <c r="B146" s="9"/>
      <c r="C146" s="45" t="s">
        <v>44</v>
      </c>
      <c r="D146" s="17"/>
      <c r="E146" s="17"/>
      <c r="F146" s="17"/>
      <c r="G146" s="13"/>
      <c r="H146" s="17"/>
      <c r="I146" s="46" t="s">
        <v>45</v>
      </c>
      <c r="J146" s="17"/>
      <c r="K146" s="46"/>
      <c r="L146" s="86"/>
      <c r="M146" s="82"/>
      <c r="N146" s="535"/>
      <c r="O146" s="85"/>
      <c r="P146" s="9"/>
    </row>
    <row r="147" spans="1:16" ht="16.5" thickBot="1">
      <c r="A147" s="23" t="s">
        <v>6</v>
      </c>
      <c r="B147" s="9"/>
      <c r="C147" s="48" t="s">
        <v>46</v>
      </c>
      <c r="D147" s="46" t="s">
        <v>47</v>
      </c>
      <c r="E147" s="49"/>
      <c r="F147" s="46" t="s">
        <v>48</v>
      </c>
      <c r="H147" s="49"/>
      <c r="I147" s="13" t="s">
        <v>49</v>
      </c>
      <c r="J147" s="17"/>
      <c r="K147" s="46"/>
      <c r="L147" s="85"/>
      <c r="M147" s="82"/>
      <c r="N147" s="559"/>
      <c r="O147" s="85"/>
      <c r="P147" s="9"/>
    </row>
    <row r="148" spans="1:16">
      <c r="A148" s="13"/>
      <c r="B148" s="9" t="s">
        <v>284</v>
      </c>
      <c r="C148" s="17"/>
      <c r="D148" s="17"/>
      <c r="E148" s="17"/>
      <c r="F148" s="17"/>
      <c r="G148" s="17"/>
      <c r="H148" s="17"/>
      <c r="I148" s="17"/>
      <c r="J148" s="17"/>
      <c r="K148" s="17"/>
      <c r="L148" s="86"/>
      <c r="M148" s="82"/>
      <c r="N148" s="85"/>
      <c r="O148" s="85"/>
      <c r="P148" s="9"/>
    </row>
    <row r="149" spans="1:16">
      <c r="A149" s="13">
        <v>1</v>
      </c>
      <c r="B149" s="9" t="s">
        <v>78</v>
      </c>
      <c r="C149" s="6" t="s">
        <v>256</v>
      </c>
      <c r="D149" s="54">
        <f>'EIA 412 Sch 7'!F21</f>
        <v>821643.28649609222</v>
      </c>
      <c r="E149" s="17"/>
      <c r="F149" s="17" t="s">
        <v>74</v>
      </c>
      <c r="G149" s="51">
        <f>I229</f>
        <v>1</v>
      </c>
      <c r="H149" s="17"/>
      <c r="I149" s="17">
        <f t="shared" ref="I149:I157" si="1">+G149*D149</f>
        <v>821643.28649609222</v>
      </c>
      <c r="J149" s="11"/>
      <c r="K149" s="17"/>
      <c r="L149" s="85"/>
      <c r="M149" s="562"/>
      <c r="N149" s="563"/>
      <c r="O149" s="535"/>
      <c r="P149" s="17" t="s">
        <v>2</v>
      </c>
    </row>
    <row r="150" spans="1:16">
      <c r="A150" s="60" t="s">
        <v>190</v>
      </c>
      <c r="B150" s="61" t="s">
        <v>223</v>
      </c>
      <c r="C150" s="1"/>
      <c r="D150" s="54">
        <v>0</v>
      </c>
      <c r="E150" s="17"/>
      <c r="F150" s="62"/>
      <c r="G150" s="51">
        <v>1</v>
      </c>
      <c r="H150" s="17"/>
      <c r="I150" s="17">
        <f>+G150*D150</f>
        <v>0</v>
      </c>
      <c r="J150" s="11"/>
      <c r="K150" s="17"/>
      <c r="L150" s="85"/>
      <c r="M150" s="562"/>
      <c r="N150" s="563"/>
      <c r="O150" s="535"/>
      <c r="P150" s="17"/>
    </row>
    <row r="151" spans="1:16">
      <c r="A151" s="13">
        <v>2</v>
      </c>
      <c r="B151" s="9" t="s">
        <v>79</v>
      </c>
      <c r="C151" s="6" t="s">
        <v>2</v>
      </c>
      <c r="D151" s="54">
        <v>0</v>
      </c>
      <c r="E151" s="17"/>
      <c r="F151" s="17" t="s">
        <v>74</v>
      </c>
      <c r="G151" s="51">
        <f>+G149</f>
        <v>1</v>
      </c>
      <c r="H151" s="17"/>
      <c r="I151" s="17">
        <f t="shared" si="1"/>
        <v>0</v>
      </c>
      <c r="J151" s="11"/>
      <c r="K151" s="17"/>
      <c r="L151" s="85"/>
      <c r="M151" s="562"/>
      <c r="N151" s="563"/>
      <c r="O151" s="535"/>
      <c r="P151" s="17"/>
    </row>
    <row r="152" spans="1:16">
      <c r="A152" s="13">
        <v>3</v>
      </c>
      <c r="B152" s="9" t="s">
        <v>80</v>
      </c>
      <c r="C152" s="6" t="s">
        <v>257</v>
      </c>
      <c r="D152" s="54">
        <f>'EIA 412 Sch 7'!F29</f>
        <v>8187753.3445437802</v>
      </c>
      <c r="E152" s="17"/>
      <c r="F152" s="17" t="s">
        <v>56</v>
      </c>
      <c r="G152" s="51">
        <f>I236</f>
        <v>5.3834060081911862E-2</v>
      </c>
      <c r="H152" s="17"/>
      <c r="I152" s="17">
        <f t="shared" si="1"/>
        <v>440780.00548604468</v>
      </c>
      <c r="J152" s="17"/>
      <c r="K152" s="17" t="s">
        <v>2</v>
      </c>
      <c r="L152" s="85"/>
      <c r="M152" s="562"/>
      <c r="N152" s="563"/>
      <c r="O152" s="567"/>
      <c r="P152" s="9"/>
    </row>
    <row r="153" spans="1:16">
      <c r="A153" s="13">
        <v>4</v>
      </c>
      <c r="B153" s="9" t="s">
        <v>81</v>
      </c>
      <c r="C153" s="17"/>
      <c r="D153" s="54">
        <v>0</v>
      </c>
      <c r="E153" s="17"/>
      <c r="F153" s="17" t="str">
        <f>+F152</f>
        <v>W/S</v>
      </c>
      <c r="G153" s="51">
        <f>I236</f>
        <v>5.3834060081911862E-2</v>
      </c>
      <c r="H153" s="17"/>
      <c r="I153" s="17">
        <f t="shared" si="1"/>
        <v>0</v>
      </c>
      <c r="J153" s="17"/>
      <c r="K153" s="17"/>
      <c r="L153" s="85"/>
      <c r="M153" s="562"/>
      <c r="N153" s="563"/>
      <c r="O153" s="567"/>
      <c r="P153" s="9"/>
    </row>
    <row r="154" spans="1:16">
      <c r="A154" s="13">
        <v>5</v>
      </c>
      <c r="B154" s="9" t="s">
        <v>224</v>
      </c>
      <c r="C154" s="17"/>
      <c r="D154" s="54">
        <v>0</v>
      </c>
      <c r="E154" s="17"/>
      <c r="F154" s="17" t="str">
        <f>+F153</f>
        <v>W/S</v>
      </c>
      <c r="G154" s="51">
        <f>I236</f>
        <v>5.3834060081911862E-2</v>
      </c>
      <c r="H154" s="17"/>
      <c r="I154" s="17">
        <f t="shared" si="1"/>
        <v>0</v>
      </c>
      <c r="J154" s="17"/>
      <c r="K154" s="17"/>
      <c r="L154" s="85"/>
      <c r="M154" s="562"/>
      <c r="N154" s="563"/>
      <c r="O154" s="535"/>
      <c r="P154" s="9"/>
    </row>
    <row r="155" spans="1:16">
      <c r="A155" s="13" t="s">
        <v>178</v>
      </c>
      <c r="B155" s="9" t="s">
        <v>225</v>
      </c>
      <c r="C155" s="17"/>
      <c r="D155" s="54">
        <v>0</v>
      </c>
      <c r="E155" s="17"/>
      <c r="F155" s="17" t="str">
        <f>+F149</f>
        <v>TE</v>
      </c>
      <c r="G155" s="51">
        <f>+G149</f>
        <v>1</v>
      </c>
      <c r="H155" s="17"/>
      <c r="I155" s="17">
        <f t="shared" si="1"/>
        <v>0</v>
      </c>
      <c r="J155" s="17"/>
      <c r="K155" s="17"/>
      <c r="L155" s="85"/>
      <c r="M155" s="562"/>
      <c r="N155" s="563"/>
      <c r="O155" s="535"/>
      <c r="P155" s="9"/>
    </row>
    <row r="156" spans="1:16">
      <c r="A156" s="13">
        <v>6</v>
      </c>
      <c r="B156" s="9" t="s">
        <v>57</v>
      </c>
      <c r="C156" s="17"/>
      <c r="D156" s="54">
        <v>0</v>
      </c>
      <c r="E156" s="17"/>
      <c r="F156" s="17" t="s">
        <v>58</v>
      </c>
      <c r="G156" s="51">
        <f>K240</f>
        <v>0</v>
      </c>
      <c r="H156" s="17"/>
      <c r="I156" s="17">
        <f t="shared" si="1"/>
        <v>0</v>
      </c>
      <c r="J156" s="17"/>
      <c r="K156" s="17"/>
      <c r="L156" s="85"/>
      <c r="M156" s="562"/>
      <c r="N156" s="563"/>
      <c r="O156" s="535"/>
      <c r="P156" s="9"/>
    </row>
    <row r="157" spans="1:16" ht="16.5" thickBot="1">
      <c r="A157" s="13">
        <v>7</v>
      </c>
      <c r="B157" s="9" t="s">
        <v>82</v>
      </c>
      <c r="C157" s="17"/>
      <c r="D157" s="52">
        <v>0</v>
      </c>
      <c r="E157" s="17"/>
      <c r="F157" s="17" t="s">
        <v>52</v>
      </c>
      <c r="G157" s="51">
        <v>1</v>
      </c>
      <c r="H157" s="17"/>
      <c r="I157" s="29">
        <f t="shared" si="1"/>
        <v>0</v>
      </c>
      <c r="J157" s="17"/>
      <c r="K157" s="17"/>
      <c r="L157" s="85"/>
      <c r="M157" s="562"/>
      <c r="N157" s="563"/>
      <c r="O157" s="567"/>
      <c r="P157" s="9"/>
    </row>
    <row r="158" spans="1:16">
      <c r="A158" s="60">
        <v>8</v>
      </c>
      <c r="B158" s="61" t="s">
        <v>258</v>
      </c>
      <c r="C158" s="5"/>
      <c r="D158" s="5">
        <f>+D149-D151+D152-D153-D154+D155+D156+D157-D150</f>
        <v>9009396.6310398728</v>
      </c>
      <c r="E158" s="5"/>
      <c r="F158" s="5"/>
      <c r="G158" s="5"/>
      <c r="H158" s="5"/>
      <c r="I158" s="5">
        <f>+I149-I151+I152-I153-I154+I155+I156+I157-I150</f>
        <v>1262423.2919821369</v>
      </c>
      <c r="J158" s="5"/>
      <c r="K158" s="5"/>
      <c r="L158" s="85"/>
      <c r="M158" s="562"/>
      <c r="N158" s="563"/>
      <c r="O158" s="568"/>
      <c r="P158" s="9"/>
    </row>
    <row r="159" spans="1:16">
      <c r="A159" s="13"/>
      <c r="C159" s="17"/>
      <c r="E159" s="17"/>
      <c r="F159" s="17"/>
      <c r="G159" s="17"/>
      <c r="H159" s="17"/>
      <c r="J159" s="17"/>
      <c r="K159" s="17"/>
      <c r="L159" s="82"/>
      <c r="M159" s="563"/>
      <c r="N159" s="85"/>
      <c r="O159" s="85"/>
      <c r="P159" s="9"/>
    </row>
    <row r="160" spans="1:16">
      <c r="A160" s="13"/>
      <c r="B160" s="9" t="s">
        <v>285</v>
      </c>
      <c r="C160" s="17"/>
      <c r="D160" s="17"/>
      <c r="E160" s="17"/>
      <c r="F160" s="17"/>
      <c r="G160" s="17"/>
      <c r="H160" s="17"/>
      <c r="I160" s="17"/>
      <c r="J160" s="17"/>
      <c r="K160" s="17"/>
      <c r="L160" s="85"/>
      <c r="M160" s="563"/>
      <c r="N160" s="85"/>
      <c r="O160" s="85"/>
      <c r="P160" s="9"/>
    </row>
    <row r="161" spans="1:16">
      <c r="A161" s="13">
        <v>9</v>
      </c>
      <c r="B161" s="9" t="str">
        <f>+B149</f>
        <v xml:space="preserve">  Transmission </v>
      </c>
      <c r="C161" s="6" t="s">
        <v>2</v>
      </c>
      <c r="D161" s="54">
        <f>'WP - Plant Functionalization'!D21</f>
        <v>557212.29950960435</v>
      </c>
      <c r="E161" s="17"/>
      <c r="F161" s="17" t="s">
        <v>12</v>
      </c>
      <c r="G161" s="51">
        <f>+G114</f>
        <v>1</v>
      </c>
      <c r="H161" s="17"/>
      <c r="I161" s="17">
        <f>+G161*D161</f>
        <v>557212.29950960435</v>
      </c>
      <c r="J161" s="17"/>
      <c r="K161" s="53"/>
      <c r="L161" s="85"/>
      <c r="M161" s="562"/>
      <c r="N161" s="563"/>
      <c r="O161" s="535"/>
      <c r="P161" s="17" t="s">
        <v>2</v>
      </c>
    </row>
    <row r="162" spans="1:16">
      <c r="A162" s="13">
        <v>10</v>
      </c>
      <c r="B162" s="9" t="s">
        <v>286</v>
      </c>
      <c r="C162" s="6" t="s">
        <v>2</v>
      </c>
      <c r="D162" s="54">
        <f>'WP - Plant Functionalization'!D23</f>
        <v>287759.32799999998</v>
      </c>
      <c r="E162" s="17"/>
      <c r="F162" s="17" t="s">
        <v>56</v>
      </c>
      <c r="G162" s="51">
        <f>+G152</f>
        <v>5.3834060081911862E-2</v>
      </c>
      <c r="H162" s="17"/>
      <c r="I162" s="17">
        <f>+G162*D162</f>
        <v>15491.252952682582</v>
      </c>
      <c r="J162" s="17"/>
      <c r="K162" s="53"/>
      <c r="L162" s="85"/>
      <c r="M162" s="562"/>
      <c r="N162" s="563"/>
      <c r="O162" s="567"/>
      <c r="P162" s="17"/>
    </row>
    <row r="163" spans="1:16" ht="16.5" thickBot="1">
      <c r="A163" s="13">
        <v>11</v>
      </c>
      <c r="B163" s="9" t="str">
        <f>+B156</f>
        <v xml:space="preserve">  Common</v>
      </c>
      <c r="C163" s="17"/>
      <c r="D163" s="52">
        <v>0</v>
      </c>
      <c r="E163" s="17"/>
      <c r="F163" s="17" t="s">
        <v>58</v>
      </c>
      <c r="G163" s="51">
        <f>+G156</f>
        <v>0</v>
      </c>
      <c r="H163" s="17"/>
      <c r="I163" s="29">
        <f>+G163*D163</f>
        <v>0</v>
      </c>
      <c r="J163" s="17"/>
      <c r="K163" s="53"/>
      <c r="L163" s="85"/>
      <c r="M163" s="562"/>
      <c r="N163" s="563"/>
      <c r="O163" s="535"/>
      <c r="P163" s="17" t="s">
        <v>2</v>
      </c>
    </row>
    <row r="164" spans="1:16">
      <c r="A164" s="13">
        <v>12</v>
      </c>
      <c r="B164" s="9" t="s">
        <v>226</v>
      </c>
      <c r="C164" s="17"/>
      <c r="D164" s="17">
        <f>SUM(D161:D163)</f>
        <v>844971.62750960432</v>
      </c>
      <c r="E164" s="17"/>
      <c r="F164" s="17"/>
      <c r="G164" s="17"/>
      <c r="H164" s="17"/>
      <c r="I164" s="17">
        <f>SUM(I161:I163)</f>
        <v>572703.5524622869</v>
      </c>
      <c r="J164" s="17"/>
      <c r="K164" s="17"/>
      <c r="L164" s="85"/>
      <c r="M164" s="562"/>
      <c r="N164" s="563"/>
      <c r="O164" s="85"/>
      <c r="P164" s="9"/>
    </row>
    <row r="165" spans="1:16">
      <c r="A165" s="13"/>
      <c r="B165" s="9"/>
      <c r="C165" s="17"/>
      <c r="D165" s="17"/>
      <c r="E165" s="17"/>
      <c r="F165" s="17"/>
      <c r="G165" s="17"/>
      <c r="H165" s="17"/>
      <c r="I165" s="17"/>
      <c r="J165" s="17"/>
      <c r="K165" s="17"/>
      <c r="L165" s="85"/>
      <c r="M165" s="82"/>
      <c r="N165" s="85"/>
      <c r="O165" s="85"/>
      <c r="P165" s="9"/>
    </row>
    <row r="166" spans="1:16">
      <c r="A166" s="13" t="s">
        <v>2</v>
      </c>
      <c r="B166" s="9" t="s">
        <v>227</v>
      </c>
      <c r="D166" s="17"/>
      <c r="E166" s="17"/>
      <c r="F166" s="17"/>
      <c r="G166" s="17"/>
      <c r="H166" s="17"/>
      <c r="I166" s="17"/>
      <c r="J166" s="17"/>
      <c r="K166" s="17"/>
      <c r="L166" s="85"/>
      <c r="M166" s="82"/>
      <c r="N166" s="85"/>
      <c r="O166" s="85"/>
      <c r="P166" s="9"/>
    </row>
    <row r="167" spans="1:16">
      <c r="A167" s="13"/>
      <c r="B167" s="9" t="s">
        <v>83</v>
      </c>
      <c r="E167" s="17"/>
      <c r="F167" s="17"/>
      <c r="H167" s="17"/>
      <c r="J167" s="17"/>
      <c r="K167" s="53"/>
      <c r="L167" s="82"/>
      <c r="M167" s="82"/>
      <c r="N167" s="569"/>
      <c r="O167" s="535"/>
      <c r="P167" s="9"/>
    </row>
    <row r="168" spans="1:16">
      <c r="A168" s="13">
        <v>13</v>
      </c>
      <c r="B168" s="9" t="s">
        <v>84</v>
      </c>
      <c r="C168" s="17"/>
      <c r="D168" s="54">
        <v>0</v>
      </c>
      <c r="E168" s="17"/>
      <c r="F168" s="17" t="s">
        <v>56</v>
      </c>
      <c r="G168" s="27">
        <f>+G162</f>
        <v>5.3834060081911862E-2</v>
      </c>
      <c r="H168" s="17"/>
      <c r="I168" s="17">
        <f>+G168*D168</f>
        <v>0</v>
      </c>
      <c r="J168" s="17"/>
      <c r="K168" s="53"/>
      <c r="L168" s="85"/>
      <c r="M168" s="562"/>
      <c r="N168" s="563"/>
      <c r="O168" s="535"/>
      <c r="P168" s="9"/>
    </row>
    <row r="169" spans="1:16">
      <c r="A169" s="13">
        <v>14</v>
      </c>
      <c r="B169" s="9" t="s">
        <v>85</v>
      </c>
      <c r="C169" s="17"/>
      <c r="D169" s="54">
        <v>0</v>
      </c>
      <c r="E169" s="17"/>
      <c r="F169" s="17" t="str">
        <f>+F168</f>
        <v>W/S</v>
      </c>
      <c r="G169" s="27">
        <f>+G168</f>
        <v>5.3834060081911862E-2</v>
      </c>
      <c r="H169" s="17"/>
      <c r="I169" s="17">
        <f>+G169*D169</f>
        <v>0</v>
      </c>
      <c r="J169" s="17"/>
      <c r="K169" s="53"/>
      <c r="L169" s="85"/>
      <c r="M169" s="562"/>
      <c r="N169" s="563"/>
      <c r="O169" s="535"/>
      <c r="P169" s="9"/>
    </row>
    <row r="170" spans="1:16">
      <c r="A170" s="13">
        <v>15</v>
      </c>
      <c r="B170" s="9" t="s">
        <v>86</v>
      </c>
      <c r="C170" s="17"/>
      <c r="E170" s="17"/>
      <c r="F170" s="17"/>
      <c r="H170" s="17"/>
      <c r="J170" s="17"/>
      <c r="K170" s="53"/>
      <c r="L170" s="82"/>
      <c r="M170" s="563"/>
      <c r="N170" s="569"/>
      <c r="O170" s="535"/>
      <c r="P170" s="9"/>
    </row>
    <row r="171" spans="1:16">
      <c r="A171" s="13">
        <v>16</v>
      </c>
      <c r="B171" s="9" t="s">
        <v>87</v>
      </c>
      <c r="C171" s="17"/>
      <c r="D171" s="54">
        <v>0</v>
      </c>
      <c r="E171" s="17"/>
      <c r="F171" s="17" t="s">
        <v>76</v>
      </c>
      <c r="G171" s="27">
        <f>+G88</f>
        <v>9.0778206313968435E-2</v>
      </c>
      <c r="H171" s="17"/>
      <c r="I171" s="17">
        <f>+G171*D171</f>
        <v>0</v>
      </c>
      <c r="J171" s="17"/>
      <c r="K171" s="53"/>
      <c r="L171" s="85"/>
      <c r="M171" s="562"/>
      <c r="N171" s="563"/>
      <c r="O171" s="535"/>
      <c r="P171" s="9"/>
    </row>
    <row r="172" spans="1:16">
      <c r="A172" s="13">
        <v>17</v>
      </c>
      <c r="B172" s="9" t="s">
        <v>88</v>
      </c>
      <c r="C172" s="17"/>
      <c r="D172" s="54">
        <v>0</v>
      </c>
      <c r="E172" s="17"/>
      <c r="F172" s="17" t="s">
        <v>52</v>
      </c>
      <c r="G172" s="63" t="s">
        <v>177</v>
      </c>
      <c r="H172" s="17"/>
      <c r="I172" s="17">
        <v>0</v>
      </c>
      <c r="J172" s="17"/>
      <c r="K172" s="53"/>
      <c r="L172" s="85"/>
      <c r="M172" s="562"/>
      <c r="N172" s="563"/>
      <c r="O172" s="535"/>
      <c r="P172" s="9"/>
    </row>
    <row r="173" spans="1:16">
      <c r="A173" s="13">
        <v>18</v>
      </c>
      <c r="B173" s="9" t="s">
        <v>89</v>
      </c>
      <c r="C173" s="17"/>
      <c r="D173" s="54">
        <v>0</v>
      </c>
      <c r="E173" s="17"/>
      <c r="F173" s="17" t="str">
        <f>+F171</f>
        <v>GP</v>
      </c>
      <c r="G173" s="27">
        <f>+G171</f>
        <v>9.0778206313968435E-2</v>
      </c>
      <c r="H173" s="17"/>
      <c r="I173" s="17">
        <f>+G173*D173</f>
        <v>0</v>
      </c>
      <c r="J173" s="17"/>
      <c r="K173" s="53"/>
      <c r="L173" s="85"/>
      <c r="M173" s="562"/>
      <c r="N173" s="563"/>
      <c r="O173" s="535"/>
      <c r="P173" s="9"/>
    </row>
    <row r="174" spans="1:16" ht="16.5" thickBot="1">
      <c r="A174" s="13">
        <v>19</v>
      </c>
      <c r="B174" s="9" t="s">
        <v>90</v>
      </c>
      <c r="C174" s="17"/>
      <c r="D174" s="52">
        <f>'WP - Other Taxes'!G12</f>
        <v>2800586.3417667653</v>
      </c>
      <c r="E174" s="17"/>
      <c r="F174" s="17" t="s">
        <v>76</v>
      </c>
      <c r="G174" s="27">
        <f>+G173</f>
        <v>9.0778206313968435E-2</v>
      </c>
      <c r="H174" s="17"/>
      <c r="I174" s="29">
        <f>+G174*D174</f>
        <v>254232.20473298553</v>
      </c>
      <c r="J174" s="17"/>
      <c r="K174" s="53"/>
      <c r="L174" s="85"/>
      <c r="M174" s="562"/>
      <c r="N174" s="563"/>
      <c r="O174" s="535"/>
      <c r="P174" s="9"/>
    </row>
    <row r="175" spans="1:16">
      <c r="A175" s="13">
        <v>20</v>
      </c>
      <c r="B175" s="9" t="s">
        <v>91</v>
      </c>
      <c r="C175" s="17"/>
      <c r="D175" s="17">
        <f>SUM(D168:D174)</f>
        <v>2800586.3417667653</v>
      </c>
      <c r="E175" s="17"/>
      <c r="F175" s="17"/>
      <c r="G175" s="27"/>
      <c r="H175" s="17"/>
      <c r="I175" s="17">
        <f>SUM(I168:I174)</f>
        <v>254232.20473298553</v>
      </c>
      <c r="J175" s="17"/>
      <c r="K175" s="17"/>
      <c r="L175" s="85"/>
      <c r="M175" s="562"/>
      <c r="N175" s="563"/>
      <c r="O175" s="85"/>
      <c r="P175" s="9"/>
    </row>
    <row r="176" spans="1:16">
      <c r="A176" s="13" t="s">
        <v>92</v>
      </c>
      <c r="B176" s="9"/>
      <c r="C176" s="17"/>
      <c r="D176" s="17"/>
      <c r="E176" s="17"/>
      <c r="F176" s="17"/>
      <c r="G176" s="27"/>
      <c r="H176" s="17"/>
      <c r="I176" s="17"/>
      <c r="J176" s="17"/>
      <c r="K176" s="17"/>
      <c r="L176" s="85"/>
      <c r="M176" s="82"/>
      <c r="N176" s="85"/>
      <c r="O176" s="85"/>
      <c r="P176" s="9"/>
    </row>
    <row r="177" spans="1:16">
      <c r="A177" s="13" t="s">
        <v>2</v>
      </c>
      <c r="B177" s="9" t="s">
        <v>93</v>
      </c>
      <c r="C177" s="64" t="s">
        <v>204</v>
      </c>
      <c r="D177" s="17"/>
      <c r="E177" s="17"/>
      <c r="F177" s="17" t="s">
        <v>52</v>
      </c>
      <c r="G177" s="65"/>
      <c r="H177" s="17"/>
      <c r="I177" s="17"/>
      <c r="J177" s="17"/>
      <c r="L177" s="85"/>
      <c r="M177" s="82"/>
      <c r="N177" s="85"/>
      <c r="O177" s="567"/>
      <c r="P177" s="17" t="s">
        <v>2</v>
      </c>
    </row>
    <row r="178" spans="1:16">
      <c r="A178" s="13">
        <v>21</v>
      </c>
      <c r="B178" s="66" t="s">
        <v>94</v>
      </c>
      <c r="C178" s="17"/>
      <c r="D178" s="67">
        <f>IF(D293&gt;0,1-(((1-D294)*(1-D293))/(1-D294*D293*D295)),0)</f>
        <v>0</v>
      </c>
      <c r="E178" s="17"/>
      <c r="G178" s="65"/>
      <c r="H178" s="17"/>
      <c r="J178" s="17"/>
      <c r="L178" s="82"/>
      <c r="M178" s="82"/>
      <c r="N178" s="85"/>
      <c r="O178" s="567"/>
      <c r="P178" s="17"/>
    </row>
    <row r="179" spans="1:16">
      <c r="A179" s="13">
        <v>22</v>
      </c>
      <c r="B179" s="6" t="s">
        <v>95</v>
      </c>
      <c r="C179" s="17"/>
      <c r="D179" s="67">
        <f>IF(I250&gt;0,(D178/(1-D178))*(1-I248/I250),0)</f>
        <v>0</v>
      </c>
      <c r="E179" s="17"/>
      <c r="G179" s="65"/>
      <c r="H179" s="17"/>
      <c r="J179" s="17"/>
      <c r="L179" s="82"/>
      <c r="M179" s="82"/>
      <c r="N179" s="85"/>
      <c r="O179" s="535"/>
      <c r="P179" s="17"/>
    </row>
    <row r="180" spans="1:16">
      <c r="A180" s="13"/>
      <c r="B180" s="9" t="s">
        <v>287</v>
      </c>
      <c r="C180" s="17"/>
      <c r="D180" s="17"/>
      <c r="E180" s="17"/>
      <c r="G180" s="65"/>
      <c r="H180" s="17"/>
      <c r="J180" s="17"/>
      <c r="L180" s="82"/>
      <c r="M180" s="82"/>
      <c r="N180" s="85"/>
      <c r="O180" s="535"/>
      <c r="P180" s="17"/>
    </row>
    <row r="181" spans="1:16">
      <c r="A181" s="13"/>
      <c r="B181" s="9" t="s">
        <v>96</v>
      </c>
      <c r="C181" s="17"/>
      <c r="D181" s="17"/>
      <c r="E181" s="17"/>
      <c r="G181" s="65"/>
      <c r="H181" s="17"/>
      <c r="J181" s="17"/>
      <c r="L181" s="82"/>
      <c r="M181" s="82"/>
      <c r="N181" s="85"/>
      <c r="O181" s="535"/>
      <c r="P181" s="17"/>
    </row>
    <row r="182" spans="1:16">
      <c r="A182" s="13">
        <v>23</v>
      </c>
      <c r="B182" s="66" t="s">
        <v>97</v>
      </c>
      <c r="C182" s="17"/>
      <c r="D182" s="68">
        <f>IF(D178&gt;0,1/(1-D178),0)</f>
        <v>0</v>
      </c>
      <c r="E182" s="17"/>
      <c r="G182" s="65"/>
      <c r="H182" s="17"/>
      <c r="J182" s="17"/>
      <c r="L182" s="82"/>
      <c r="M182" s="82"/>
      <c r="N182" s="85"/>
      <c r="O182" s="535"/>
      <c r="P182" s="17"/>
    </row>
    <row r="183" spans="1:16">
      <c r="A183" s="13">
        <v>24</v>
      </c>
      <c r="B183" s="61" t="s">
        <v>290</v>
      </c>
      <c r="C183" s="17"/>
      <c r="D183" s="54">
        <v>0</v>
      </c>
      <c r="E183" s="17"/>
      <c r="G183" s="65"/>
      <c r="H183" s="17"/>
      <c r="J183" s="17"/>
      <c r="L183" s="82"/>
      <c r="M183" s="82"/>
      <c r="N183" s="85"/>
      <c r="O183" s="535"/>
      <c r="P183" s="17"/>
    </row>
    <row r="184" spans="1:16">
      <c r="A184" s="13"/>
      <c r="B184" s="9"/>
      <c r="C184" s="17"/>
      <c r="D184" s="17"/>
      <c r="E184" s="17"/>
      <c r="G184" s="65"/>
      <c r="H184" s="17"/>
      <c r="J184" s="17"/>
      <c r="L184" s="82"/>
      <c r="M184" s="82"/>
      <c r="N184" s="85"/>
      <c r="O184" s="535"/>
      <c r="P184" s="17"/>
    </row>
    <row r="185" spans="1:16">
      <c r="A185" s="13">
        <v>25</v>
      </c>
      <c r="B185" s="66" t="s">
        <v>98</v>
      </c>
      <c r="C185" s="64"/>
      <c r="D185" s="17">
        <f>D179*D189</f>
        <v>0</v>
      </c>
      <c r="E185" s="17"/>
      <c r="F185" s="17" t="s">
        <v>52</v>
      </c>
      <c r="G185" s="27"/>
      <c r="H185" s="17"/>
      <c r="I185" s="17">
        <f>D179*I189</f>
        <v>0</v>
      </c>
      <c r="J185" s="17"/>
      <c r="L185" s="85"/>
      <c r="M185" s="562"/>
      <c r="N185" s="563"/>
      <c r="O185" s="535"/>
      <c r="P185" s="17"/>
    </row>
    <row r="186" spans="1:16" ht="16.5" thickBot="1">
      <c r="A186" s="13">
        <v>26</v>
      </c>
      <c r="B186" s="6" t="s">
        <v>99</v>
      </c>
      <c r="C186" s="64"/>
      <c r="D186" s="29">
        <f>D182*D183</f>
        <v>0</v>
      </c>
      <c r="E186" s="17"/>
      <c r="F186" s="6" t="s">
        <v>63</v>
      </c>
      <c r="G186" s="27">
        <f>G104</f>
        <v>4.9899054960477744E-2</v>
      </c>
      <c r="H186" s="17"/>
      <c r="I186" s="29">
        <f>G186*D186</f>
        <v>0</v>
      </c>
      <c r="J186" s="17"/>
      <c r="L186" s="85"/>
      <c r="M186" s="562"/>
      <c r="N186" s="563"/>
      <c r="O186" s="535"/>
      <c r="P186" s="17"/>
    </row>
    <row r="187" spans="1:16">
      <c r="A187" s="13">
        <v>27</v>
      </c>
      <c r="B187" s="66" t="s">
        <v>100</v>
      </c>
      <c r="C187" s="6" t="s">
        <v>101</v>
      </c>
      <c r="D187" s="69">
        <f>+D185+D186</f>
        <v>0</v>
      </c>
      <c r="E187" s="17"/>
      <c r="F187" s="17" t="s">
        <v>2</v>
      </c>
      <c r="G187" s="27" t="s">
        <v>2</v>
      </c>
      <c r="H187" s="17"/>
      <c r="I187" s="69">
        <f>+I185+I186</f>
        <v>0</v>
      </c>
      <c r="J187" s="17"/>
      <c r="L187" s="566"/>
      <c r="M187" s="562"/>
      <c r="N187" s="563"/>
      <c r="O187" s="535"/>
      <c r="P187" s="17"/>
    </row>
    <row r="188" spans="1:16">
      <c r="A188" s="13" t="s">
        <v>2</v>
      </c>
      <c r="C188" s="70"/>
      <c r="D188" s="17"/>
      <c r="E188" s="17"/>
      <c r="F188" s="17"/>
      <c r="G188" s="27"/>
      <c r="H188" s="17"/>
      <c r="I188" s="17"/>
      <c r="J188" s="17"/>
      <c r="K188" s="17"/>
      <c r="L188" s="85"/>
      <c r="M188" s="82"/>
      <c r="N188" s="85"/>
      <c r="O188" s="85"/>
      <c r="P188" s="9"/>
    </row>
    <row r="189" spans="1:16">
      <c r="A189" s="13">
        <v>28</v>
      </c>
      <c r="B189" s="9" t="s">
        <v>102</v>
      </c>
      <c r="C189" s="53"/>
      <c r="D189" s="17">
        <f>+$I250*D122</f>
        <v>10083967.12594418</v>
      </c>
      <c r="E189" s="17"/>
      <c r="F189" s="17" t="s">
        <v>52</v>
      </c>
      <c r="G189" s="65"/>
      <c r="H189" s="17"/>
      <c r="I189" s="17">
        <f>+$I250*I122</f>
        <v>522627.75257129938</v>
      </c>
      <c r="J189" s="17"/>
      <c r="L189" s="85"/>
      <c r="M189" s="562"/>
      <c r="N189" s="563"/>
      <c r="O189" s="535"/>
      <c r="P189" s="17" t="s">
        <v>2</v>
      </c>
    </row>
    <row r="190" spans="1:16">
      <c r="A190" s="13"/>
      <c r="B190" s="66" t="s">
        <v>103</v>
      </c>
      <c r="D190" s="17"/>
      <c r="E190" s="17"/>
      <c r="F190" s="17"/>
      <c r="G190" s="65"/>
      <c r="H190" s="17"/>
      <c r="I190" s="17"/>
      <c r="J190" s="17"/>
      <c r="K190" s="53"/>
      <c r="L190" s="85"/>
      <c r="M190" s="82"/>
      <c r="N190" s="85"/>
      <c r="O190" s="535"/>
      <c r="P190" s="17"/>
    </row>
    <row r="191" spans="1:16">
      <c r="A191" s="13"/>
      <c r="B191" s="9"/>
      <c r="D191" s="71"/>
      <c r="E191" s="17"/>
      <c r="F191" s="17"/>
      <c r="G191" s="65"/>
      <c r="H191" s="17"/>
      <c r="I191" s="71"/>
      <c r="J191" s="17"/>
      <c r="K191" s="53"/>
      <c r="L191" s="85"/>
      <c r="M191" s="82"/>
      <c r="N191" s="85"/>
      <c r="O191" s="535"/>
      <c r="P191" s="17"/>
    </row>
    <row r="192" spans="1:16">
      <c r="A192" s="13">
        <v>29</v>
      </c>
      <c r="B192" s="9" t="s">
        <v>228</v>
      </c>
      <c r="C192" s="17"/>
      <c r="D192" s="71">
        <f>+D189+D187+D175+D164+D158</f>
        <v>22738921.726260424</v>
      </c>
      <c r="E192" s="17"/>
      <c r="F192" s="17"/>
      <c r="G192" s="17"/>
      <c r="H192" s="17"/>
      <c r="I192" s="71">
        <f>+I189+I187+I175+I164+I158</f>
        <v>2611986.8017487088</v>
      </c>
      <c r="J192" s="11"/>
      <c r="K192" s="11"/>
      <c r="L192" s="85"/>
      <c r="M192" s="562"/>
      <c r="N192" s="563"/>
      <c r="O192" s="567"/>
      <c r="P192" s="9"/>
    </row>
    <row r="193" spans="1:16">
      <c r="A193" s="13"/>
      <c r="B193" s="9"/>
      <c r="C193" s="17"/>
      <c r="D193" s="71"/>
      <c r="E193" s="17"/>
      <c r="F193" s="17"/>
      <c r="G193" s="17"/>
      <c r="H193" s="17"/>
      <c r="I193" s="71"/>
      <c r="J193" s="11"/>
      <c r="K193" s="11"/>
      <c r="L193" s="85"/>
      <c r="M193" s="82"/>
      <c r="N193" s="84"/>
      <c r="O193" s="567"/>
      <c r="P193" s="9"/>
    </row>
    <row r="194" spans="1:16">
      <c r="A194" s="13">
        <v>30</v>
      </c>
      <c r="B194" s="6" t="s">
        <v>264</v>
      </c>
      <c r="J194" s="11"/>
      <c r="K194" s="11"/>
      <c r="L194" s="82"/>
      <c r="M194" s="82"/>
      <c r="N194" s="84"/>
      <c r="O194" s="567"/>
      <c r="P194" s="9"/>
    </row>
    <row r="195" spans="1:16">
      <c r="A195" s="13"/>
      <c r="B195" s="6" t="s">
        <v>199</v>
      </c>
      <c r="J195" s="11"/>
      <c r="K195" s="11"/>
      <c r="L195" s="82"/>
      <c r="M195" s="82"/>
      <c r="N195" s="84"/>
      <c r="O195" s="567"/>
      <c r="P195" s="9"/>
    </row>
    <row r="196" spans="1:16">
      <c r="A196" s="13"/>
      <c r="B196" s="6" t="s">
        <v>200</v>
      </c>
      <c r="D196" s="72">
        <v>0</v>
      </c>
      <c r="E196" s="9"/>
      <c r="F196" s="9"/>
      <c r="G196" s="9"/>
      <c r="H196" s="9"/>
      <c r="I196" s="72">
        <v>0</v>
      </c>
      <c r="J196" s="11"/>
      <c r="K196" s="11"/>
      <c r="L196" s="86"/>
      <c r="M196" s="562"/>
      <c r="N196" s="563"/>
      <c r="O196" s="567"/>
      <c r="P196" s="9"/>
    </row>
    <row r="197" spans="1:16">
      <c r="A197" s="13"/>
      <c r="B197" s="9"/>
      <c r="C197" s="17"/>
      <c r="D197" s="71"/>
      <c r="E197" s="17"/>
      <c r="F197" s="17"/>
      <c r="G197" s="17"/>
      <c r="H197" s="17"/>
      <c r="I197" s="71"/>
      <c r="J197" s="11"/>
      <c r="K197" s="11"/>
      <c r="L197" s="85"/>
      <c r="M197" s="563"/>
      <c r="N197" s="84"/>
      <c r="O197" s="567"/>
      <c r="P197" s="9"/>
    </row>
    <row r="198" spans="1:16">
      <c r="A198" s="13" t="s">
        <v>268</v>
      </c>
      <c r="B198" s="1" t="s">
        <v>291</v>
      </c>
      <c r="C198" s="1"/>
      <c r="D198" s="1"/>
      <c r="J198" s="17"/>
      <c r="K198" s="17"/>
      <c r="L198" s="82"/>
      <c r="M198" s="563"/>
      <c r="N198" s="85"/>
      <c r="O198" s="535"/>
      <c r="P198" s="17" t="s">
        <v>2</v>
      </c>
    </row>
    <row r="199" spans="1:16">
      <c r="A199" s="13"/>
      <c r="B199" s="6" t="s">
        <v>199</v>
      </c>
      <c r="J199" s="17"/>
      <c r="K199" s="17"/>
      <c r="L199" s="82"/>
      <c r="M199" s="563"/>
      <c r="N199" s="85"/>
      <c r="O199" s="535"/>
      <c r="P199" s="17"/>
    </row>
    <row r="200" spans="1:16" ht="16.5" thickBot="1">
      <c r="A200" s="13"/>
      <c r="B200" s="6" t="s">
        <v>269</v>
      </c>
      <c r="D200" s="73">
        <v>0</v>
      </c>
      <c r="E200" s="9"/>
      <c r="F200" s="9"/>
      <c r="G200" s="9"/>
      <c r="H200" s="9"/>
      <c r="I200" s="73">
        <v>0</v>
      </c>
      <c r="J200" s="17"/>
      <c r="K200" s="17"/>
      <c r="L200" s="86"/>
      <c r="M200" s="562"/>
      <c r="N200" s="563"/>
      <c r="O200" s="535"/>
      <c r="P200" s="17"/>
    </row>
    <row r="201" spans="1:16" ht="16.5" thickBot="1">
      <c r="A201" s="60">
        <v>31</v>
      </c>
      <c r="B201" s="1" t="s">
        <v>198</v>
      </c>
      <c r="C201" s="1"/>
      <c r="D201" s="74">
        <f>+D192-D196-D200</f>
        <v>22738921.726260424</v>
      </c>
      <c r="E201" s="1"/>
      <c r="F201" s="1"/>
      <c r="G201" s="1"/>
      <c r="H201" s="1"/>
      <c r="I201" s="74">
        <f>+I192-I196-I200</f>
        <v>2611986.8017487088</v>
      </c>
      <c r="J201" s="5"/>
      <c r="K201" s="5"/>
      <c r="L201" s="85"/>
      <c r="M201" s="562"/>
      <c r="N201" s="563"/>
      <c r="O201" s="535"/>
      <c r="P201" s="17"/>
    </row>
    <row r="202" spans="1:16" ht="16.5" thickTop="1">
      <c r="A202" s="13"/>
      <c r="B202" s="6" t="s">
        <v>270</v>
      </c>
      <c r="J202" s="17"/>
      <c r="K202" s="17"/>
      <c r="L202" s="84"/>
      <c r="M202" s="82"/>
      <c r="N202" s="85"/>
      <c r="O202" s="535"/>
      <c r="P202" s="17"/>
    </row>
    <row r="203" spans="1:16" s="77" customFormat="1">
      <c r="A203" s="76"/>
      <c r="J203" s="78"/>
      <c r="K203" s="78"/>
      <c r="L203" s="570"/>
      <c r="M203" s="571"/>
      <c r="N203" s="572"/>
      <c r="O203" s="573"/>
      <c r="P203" s="78"/>
    </row>
    <row r="204" spans="1:16" s="77" customFormat="1">
      <c r="A204" s="76"/>
      <c r="J204" s="78"/>
      <c r="K204" s="78"/>
      <c r="L204" s="570"/>
      <c r="M204" s="571"/>
      <c r="N204" s="572"/>
      <c r="O204" s="573"/>
      <c r="P204" s="78"/>
    </row>
    <row r="205" spans="1:16" s="77" customFormat="1">
      <c r="A205" s="76"/>
      <c r="J205" s="78"/>
      <c r="K205" s="7" t="s">
        <v>300</v>
      </c>
      <c r="L205" s="570"/>
      <c r="M205" s="571"/>
      <c r="N205" s="572"/>
      <c r="O205" s="573"/>
      <c r="P205" s="78"/>
    </row>
    <row r="206" spans="1:16">
      <c r="B206" s="9"/>
      <c r="C206" s="9"/>
      <c r="D206" s="10"/>
      <c r="E206" s="9"/>
      <c r="F206" s="9"/>
      <c r="G206" s="9"/>
      <c r="H206" s="11"/>
      <c r="I206" s="11"/>
      <c r="J206" s="11"/>
      <c r="K206" s="12" t="s">
        <v>187</v>
      </c>
      <c r="L206" s="86"/>
      <c r="M206" s="82"/>
      <c r="N206" s="84"/>
      <c r="O206" s="84"/>
      <c r="P206" s="11"/>
    </row>
    <row r="207" spans="1:16">
      <c r="A207" s="13"/>
      <c r="J207" s="17"/>
      <c r="K207" s="17"/>
      <c r="L207" s="86"/>
      <c r="M207" s="82"/>
      <c r="N207" s="85"/>
      <c r="O207" s="535"/>
      <c r="P207" s="17"/>
    </row>
    <row r="208" spans="1:16">
      <c r="A208" s="13"/>
      <c r="B208" s="9" t="str">
        <f>B4</f>
        <v xml:space="preserve">Formula Rate - Non-Levelized </v>
      </c>
      <c r="D208" s="6" t="str">
        <f>D4</f>
        <v xml:space="preserve">   Rate Formula Template</v>
      </c>
      <c r="J208" s="17"/>
      <c r="K208" s="7" t="str">
        <f>K4</f>
        <v>For the 12 months ended 4/30/16</v>
      </c>
      <c r="L208" s="86"/>
      <c r="M208" s="82"/>
      <c r="N208" s="85"/>
      <c r="O208" s="85"/>
      <c r="P208" s="9"/>
    </row>
    <row r="209" spans="1:17">
      <c r="A209" s="13"/>
      <c r="B209" s="9"/>
      <c r="D209" s="6" t="str">
        <f>D5</f>
        <v>Utilizing EIA Form 412 Data</v>
      </c>
      <c r="J209" s="17"/>
      <c r="K209" s="17"/>
      <c r="L209" s="86"/>
      <c r="M209" s="82"/>
      <c r="N209" s="85"/>
      <c r="O209" s="85"/>
      <c r="P209" s="9"/>
    </row>
    <row r="210" spans="1:17" ht="9" customHeight="1">
      <c r="A210" s="13"/>
      <c r="J210" s="17"/>
      <c r="K210" s="17"/>
      <c r="L210" s="86"/>
      <c r="M210" s="82"/>
      <c r="N210" s="85"/>
      <c r="O210" s="85"/>
      <c r="P210" s="9"/>
    </row>
    <row r="211" spans="1:17">
      <c r="A211" s="13"/>
      <c r="D211" s="6" t="str">
        <f>D7</f>
        <v>CITY OF ALEXANDRIA</v>
      </c>
      <c r="J211" s="17"/>
      <c r="K211" s="17"/>
      <c r="L211" s="86"/>
      <c r="M211" s="82"/>
      <c r="N211" s="85"/>
      <c r="O211" s="85"/>
      <c r="P211" s="9"/>
    </row>
    <row r="212" spans="1:17">
      <c r="A212" s="13" t="s">
        <v>4</v>
      </c>
      <c r="C212" s="9"/>
      <c r="D212" s="9"/>
      <c r="E212" s="9"/>
      <c r="F212" s="9"/>
      <c r="G212" s="9"/>
      <c r="H212" s="9"/>
      <c r="I212" s="9"/>
      <c r="J212" s="9"/>
      <c r="K212" s="9"/>
      <c r="L212" s="574"/>
      <c r="M212" s="82"/>
      <c r="N212" s="86"/>
      <c r="O212" s="86"/>
      <c r="P212" s="9"/>
    </row>
    <row r="213" spans="1:17" ht="16.5" thickBot="1">
      <c r="A213" s="23" t="s">
        <v>6</v>
      </c>
      <c r="C213" s="47" t="s">
        <v>104</v>
      </c>
      <c r="E213" s="11"/>
      <c r="F213" s="11"/>
      <c r="G213" s="11"/>
      <c r="H213" s="11"/>
      <c r="I213" s="11"/>
      <c r="J213" s="17"/>
      <c r="K213" s="17"/>
      <c r="L213" s="574"/>
      <c r="M213" s="82"/>
      <c r="N213" s="84"/>
      <c r="O213" s="85"/>
      <c r="P213" s="9"/>
    </row>
    <row r="214" spans="1:17">
      <c r="A214" s="13"/>
      <c r="B214" s="9" t="s">
        <v>107</v>
      </c>
      <c r="C214" s="11"/>
      <c r="D214" s="11"/>
      <c r="E214" s="11"/>
      <c r="F214" s="11"/>
      <c r="G214" s="11"/>
      <c r="H214" s="11"/>
      <c r="I214" s="11"/>
      <c r="J214" s="17"/>
      <c r="K214" s="17"/>
      <c r="L214" s="86"/>
      <c r="M214" s="82"/>
      <c r="N214" s="84"/>
      <c r="O214" s="85"/>
      <c r="P214" s="9"/>
    </row>
    <row r="215" spans="1:17">
      <c r="A215" s="13">
        <v>1</v>
      </c>
      <c r="B215" s="11" t="s">
        <v>229</v>
      </c>
      <c r="C215" s="11"/>
      <c r="D215" s="17"/>
      <c r="E215" s="17"/>
      <c r="F215" s="17"/>
      <c r="G215" s="17"/>
      <c r="H215" s="17"/>
      <c r="I215" s="17">
        <f>D84</f>
        <v>17888259.302999996</v>
      </c>
      <c r="J215" s="17"/>
      <c r="K215" s="17"/>
      <c r="L215" s="564"/>
      <c r="M215" s="562"/>
      <c r="N215" s="563"/>
      <c r="O215" s="85"/>
      <c r="P215" s="9"/>
    </row>
    <row r="216" spans="1:17">
      <c r="A216" s="13">
        <v>2</v>
      </c>
      <c r="B216" s="11" t="s">
        <v>230</v>
      </c>
      <c r="I216" s="54">
        <v>0</v>
      </c>
      <c r="J216" s="17"/>
      <c r="K216" s="17"/>
      <c r="L216" s="564"/>
      <c r="M216" s="562"/>
      <c r="N216" s="563"/>
      <c r="O216" s="85"/>
      <c r="P216" s="9"/>
    </row>
    <row r="217" spans="1:17" ht="16.5" thickBot="1">
      <c r="A217" s="13">
        <v>3</v>
      </c>
      <c r="B217" s="80" t="s">
        <v>231</v>
      </c>
      <c r="C217" s="80"/>
      <c r="D217" s="71"/>
      <c r="E217" s="17"/>
      <c r="F217" s="17"/>
      <c r="G217" s="56"/>
      <c r="H217" s="17"/>
      <c r="I217" s="52">
        <v>0</v>
      </c>
      <c r="J217" s="17"/>
      <c r="K217" s="17"/>
      <c r="L217" s="564"/>
      <c r="M217" s="562"/>
      <c r="N217" s="563"/>
      <c r="O217" s="85"/>
      <c r="P217" s="9"/>
    </row>
    <row r="218" spans="1:17">
      <c r="A218" s="13">
        <v>4</v>
      </c>
      <c r="B218" s="11" t="s">
        <v>179</v>
      </c>
      <c r="C218" s="11"/>
      <c r="D218" s="17"/>
      <c r="E218" s="17"/>
      <c r="F218" s="17"/>
      <c r="G218" s="56"/>
      <c r="H218" s="17"/>
      <c r="I218" s="17">
        <f>I215-I216-I217</f>
        <v>17888259.302999996</v>
      </c>
      <c r="J218" s="17"/>
      <c r="K218" s="17"/>
      <c r="L218" s="564"/>
      <c r="M218" s="562"/>
      <c r="N218" s="563"/>
      <c r="O218" s="85"/>
      <c r="P218" s="9"/>
    </row>
    <row r="219" spans="1:17">
      <c r="A219" s="13"/>
      <c r="C219" s="11"/>
      <c r="D219" s="17"/>
      <c r="E219" s="17"/>
      <c r="F219" s="17"/>
      <c r="G219" s="56"/>
      <c r="H219" s="17"/>
      <c r="J219" s="17"/>
      <c r="K219" s="17"/>
      <c r="L219" s="575"/>
      <c r="M219" s="82"/>
      <c r="N219" s="82"/>
      <c r="O219" s="82"/>
    </row>
    <row r="220" spans="1:17">
      <c r="A220" s="13">
        <v>5</v>
      </c>
      <c r="B220" s="11" t="s">
        <v>232</v>
      </c>
      <c r="C220" s="22"/>
      <c r="D220" s="81"/>
      <c r="E220" s="81"/>
      <c r="F220" s="81"/>
      <c r="G220" s="44"/>
      <c r="H220" s="17" t="s">
        <v>108</v>
      </c>
      <c r="I220" s="55">
        <f>IF(I215&gt;0,I218/I215,0)</f>
        <v>1</v>
      </c>
      <c r="J220" s="17"/>
      <c r="K220" s="17"/>
      <c r="L220" s="576"/>
      <c r="M220" s="82"/>
      <c r="N220" s="82"/>
      <c r="O220" s="82"/>
      <c r="P220" s="82"/>
      <c r="Q220" s="82"/>
    </row>
    <row r="221" spans="1:17">
      <c r="J221" s="17"/>
      <c r="K221" s="17"/>
      <c r="L221" s="575"/>
      <c r="M221" s="83"/>
      <c r="N221" s="82"/>
      <c r="O221" s="82"/>
      <c r="P221" s="82"/>
      <c r="Q221" s="82"/>
    </row>
    <row r="222" spans="1:17">
      <c r="B222" s="9" t="s">
        <v>105</v>
      </c>
      <c r="J222" s="17"/>
      <c r="K222" s="17"/>
      <c r="L222" s="575"/>
      <c r="M222" s="82"/>
      <c r="N222" s="82"/>
      <c r="O222" s="82"/>
      <c r="P222" s="82"/>
      <c r="Q222" s="82"/>
    </row>
    <row r="223" spans="1:17">
      <c r="A223" s="13">
        <v>6</v>
      </c>
      <c r="B223" s="6" t="s">
        <v>233</v>
      </c>
      <c r="D223" s="11"/>
      <c r="E223" s="11"/>
      <c r="F223" s="11"/>
      <c r="G223" s="13"/>
      <c r="H223" s="11"/>
      <c r="I223" s="17">
        <f>D149</f>
        <v>821643.28649609222</v>
      </c>
      <c r="J223" s="17"/>
      <c r="K223" s="17"/>
      <c r="L223" s="564"/>
      <c r="M223" s="562"/>
      <c r="N223" s="563"/>
      <c r="O223" s="535"/>
      <c r="P223" s="535"/>
      <c r="Q223" s="535"/>
    </row>
    <row r="224" spans="1:17" ht="16.5" thickBot="1">
      <c r="A224" s="13">
        <v>7</v>
      </c>
      <c r="B224" s="80" t="s">
        <v>234</v>
      </c>
      <c r="C224" s="80"/>
      <c r="D224" s="71"/>
      <c r="E224" s="71"/>
      <c r="F224" s="17"/>
      <c r="G224" s="17"/>
      <c r="H224" s="17"/>
      <c r="I224" s="52">
        <v>0</v>
      </c>
      <c r="J224" s="17"/>
      <c r="K224" s="17"/>
      <c r="L224" s="564"/>
      <c r="M224" s="562"/>
      <c r="N224" s="563"/>
      <c r="O224" s="85"/>
      <c r="P224" s="86"/>
      <c r="Q224" s="82"/>
    </row>
    <row r="225" spans="1:17">
      <c r="A225" s="13">
        <v>8</v>
      </c>
      <c r="B225" s="11" t="s">
        <v>259</v>
      </c>
      <c r="C225" s="22"/>
      <c r="D225" s="81"/>
      <c r="E225" s="81"/>
      <c r="F225" s="81"/>
      <c r="G225" s="44"/>
      <c r="H225" s="81"/>
      <c r="I225" s="17">
        <f>+I223-I224</f>
        <v>821643.28649609222</v>
      </c>
      <c r="J225" s="17"/>
      <c r="K225" s="17"/>
      <c r="L225" s="564"/>
      <c r="M225" s="562"/>
      <c r="N225" s="563"/>
      <c r="O225" s="82"/>
      <c r="P225" s="82"/>
      <c r="Q225" s="82"/>
    </row>
    <row r="226" spans="1:17">
      <c r="A226" s="13"/>
      <c r="B226" s="11"/>
      <c r="C226" s="11"/>
      <c r="D226" s="17"/>
      <c r="E226" s="17"/>
      <c r="F226" s="17"/>
      <c r="G226" s="17"/>
      <c r="J226" s="17"/>
      <c r="K226" s="17"/>
      <c r="L226" s="4"/>
      <c r="M226" s="87"/>
      <c r="N226" s="82"/>
      <c r="O226" s="82"/>
      <c r="P226" s="82"/>
      <c r="Q226" s="82"/>
    </row>
    <row r="227" spans="1:17">
      <c r="A227" s="13">
        <v>9</v>
      </c>
      <c r="B227" s="11" t="s">
        <v>235</v>
      </c>
      <c r="C227" s="11"/>
      <c r="D227" s="17"/>
      <c r="E227" s="17"/>
      <c r="F227" s="17"/>
      <c r="G227" s="17"/>
      <c r="H227" s="17"/>
      <c r="I227" s="51">
        <f>IF(I223&gt;0,I225/I223,0)</f>
        <v>1</v>
      </c>
      <c r="J227" s="17"/>
      <c r="K227" s="17"/>
      <c r="L227" s="535"/>
      <c r="M227" s="89"/>
      <c r="N227" s="535"/>
      <c r="O227" s="535"/>
      <c r="P227" s="88"/>
      <c r="Q227" s="88"/>
    </row>
    <row r="228" spans="1:17">
      <c r="A228" s="13">
        <v>10</v>
      </c>
      <c r="B228" s="11" t="s">
        <v>236</v>
      </c>
      <c r="C228" s="11"/>
      <c r="D228" s="17"/>
      <c r="E228" s="17"/>
      <c r="F228" s="17"/>
      <c r="G228" s="17"/>
      <c r="H228" s="11" t="s">
        <v>12</v>
      </c>
      <c r="I228" s="90">
        <f>I220</f>
        <v>1</v>
      </c>
      <c r="J228" s="17"/>
      <c r="K228" s="17"/>
      <c r="L228" s="4"/>
      <c r="M228" s="91"/>
      <c r="N228" s="85"/>
      <c r="O228" s="86"/>
      <c r="P228" s="82"/>
      <c r="Q228" s="82"/>
    </row>
    <row r="229" spans="1:17">
      <c r="A229" s="13">
        <v>11</v>
      </c>
      <c r="B229" s="11" t="s">
        <v>237</v>
      </c>
      <c r="C229" s="11"/>
      <c r="D229" s="11"/>
      <c r="E229" s="11"/>
      <c r="F229" s="11"/>
      <c r="G229" s="11"/>
      <c r="H229" s="11" t="s">
        <v>106</v>
      </c>
      <c r="I229" s="92">
        <f>+I228*I227</f>
        <v>1</v>
      </c>
      <c r="J229" s="17"/>
      <c r="K229" s="17"/>
      <c r="L229" s="4"/>
      <c r="M229" s="91"/>
      <c r="N229" s="85"/>
      <c r="O229" s="86"/>
      <c r="P229" s="82"/>
      <c r="Q229" s="82"/>
    </row>
    <row r="230" spans="1:17">
      <c r="A230" s="13"/>
      <c r="C230" s="11"/>
      <c r="D230" s="17"/>
      <c r="E230" s="17"/>
      <c r="F230" s="17"/>
      <c r="G230" s="56"/>
      <c r="H230" s="17"/>
      <c r="L230" s="4"/>
      <c r="M230" s="91"/>
      <c r="N230" s="85"/>
      <c r="O230" s="86"/>
      <c r="P230" s="82"/>
      <c r="Q230" s="82"/>
    </row>
    <row r="231" spans="1:17" ht="16.5" thickBot="1">
      <c r="A231" s="13" t="s">
        <v>2</v>
      </c>
      <c r="B231" s="9" t="s">
        <v>109</v>
      </c>
      <c r="C231" s="17"/>
      <c r="D231" s="93" t="s">
        <v>110</v>
      </c>
      <c r="E231" s="93" t="s">
        <v>12</v>
      </c>
      <c r="F231" s="17"/>
      <c r="G231" s="93" t="s">
        <v>111</v>
      </c>
      <c r="H231" s="17"/>
      <c r="I231" s="17"/>
      <c r="L231" s="4"/>
      <c r="M231" s="87"/>
      <c r="N231" s="82"/>
      <c r="O231" s="82"/>
      <c r="P231" s="82"/>
      <c r="Q231" s="82"/>
    </row>
    <row r="232" spans="1:17">
      <c r="A232" s="13">
        <v>12</v>
      </c>
      <c r="B232" s="9" t="s">
        <v>51</v>
      </c>
      <c r="C232" s="17"/>
      <c r="D232" s="54">
        <f>'WP - O&amp;M Expenses'!J127</f>
        <v>818871.12000000011</v>
      </c>
      <c r="E232" s="94">
        <v>0</v>
      </c>
      <c r="F232" s="94"/>
      <c r="G232" s="17">
        <f>D232*E232</f>
        <v>0</v>
      </c>
      <c r="H232" s="17"/>
      <c r="I232" s="17"/>
      <c r="J232" s="17"/>
      <c r="K232" s="17"/>
      <c r="L232" s="564"/>
      <c r="M232" s="562"/>
      <c r="N232" s="563"/>
      <c r="O232" s="82"/>
      <c r="P232" s="82"/>
      <c r="Q232" s="82"/>
    </row>
    <row r="233" spans="1:17">
      <c r="A233" s="13">
        <v>13</v>
      </c>
      <c r="B233" s="9" t="s">
        <v>53</v>
      </c>
      <c r="C233" s="17"/>
      <c r="D233" s="54">
        <f>'WP - O&amp;M Expenses'!K70</f>
        <v>138384.23759</v>
      </c>
      <c r="E233" s="94">
        <f>+I220</f>
        <v>1</v>
      </c>
      <c r="F233" s="94"/>
      <c r="G233" s="17">
        <f>D233*E233</f>
        <v>138384.23759</v>
      </c>
      <c r="H233" s="17"/>
      <c r="I233" s="17"/>
      <c r="J233" s="17"/>
      <c r="K233" s="17"/>
      <c r="L233" s="564"/>
      <c r="M233" s="562"/>
      <c r="N233" s="563"/>
      <c r="O233" s="86"/>
      <c r="P233" s="82"/>
      <c r="Q233" s="82"/>
    </row>
    <row r="234" spans="1:17">
      <c r="A234" s="13">
        <v>14</v>
      </c>
      <c r="B234" s="9" t="s">
        <v>54</v>
      </c>
      <c r="C234" s="17"/>
      <c r="D234" s="54">
        <f>'WP - O&amp;M Expenses'!J70</f>
        <v>1613314.9724099997</v>
      </c>
      <c r="E234" s="94">
        <v>0</v>
      </c>
      <c r="F234" s="94"/>
      <c r="G234" s="17">
        <f>D234*E234</f>
        <v>0</v>
      </c>
      <c r="H234" s="17"/>
      <c r="I234" s="95" t="s">
        <v>112</v>
      </c>
      <c r="J234" s="17"/>
      <c r="K234" s="17"/>
      <c r="L234" s="564"/>
      <c r="M234" s="562"/>
      <c r="N234" s="563"/>
      <c r="O234" s="577"/>
      <c r="P234" s="86"/>
      <c r="Q234" s="82"/>
    </row>
    <row r="235" spans="1:17" ht="16.5" thickBot="1">
      <c r="A235" s="13">
        <v>15</v>
      </c>
      <c r="B235" s="9" t="s">
        <v>113</v>
      </c>
      <c r="C235" s="17"/>
      <c r="D235" s="52">
        <v>0</v>
      </c>
      <c r="E235" s="94">
        <v>0</v>
      </c>
      <c r="F235" s="94"/>
      <c r="G235" s="29">
        <f>D235*E235</f>
        <v>0</v>
      </c>
      <c r="H235" s="17"/>
      <c r="I235" s="23" t="s">
        <v>114</v>
      </c>
      <c r="J235" s="17"/>
      <c r="K235" s="17"/>
      <c r="L235" s="564"/>
      <c r="M235" s="562"/>
      <c r="N235" s="563"/>
      <c r="O235" s="578"/>
      <c r="P235" s="9"/>
    </row>
    <row r="236" spans="1:17">
      <c r="A236" s="13">
        <v>16</v>
      </c>
      <c r="B236" s="9" t="s">
        <v>239</v>
      </c>
      <c r="C236" s="17"/>
      <c r="D236" s="17">
        <f>SUM(D232:D235)</f>
        <v>2570570.33</v>
      </c>
      <c r="E236" s="17"/>
      <c r="F236" s="17"/>
      <c r="G236" s="17">
        <f>SUM(G232:G235)</f>
        <v>138384.23759</v>
      </c>
      <c r="H236" s="13" t="s">
        <v>115</v>
      </c>
      <c r="I236" s="51">
        <f>IF(G236&gt;0,G233/D236,0)</f>
        <v>5.3834060081911862E-2</v>
      </c>
      <c r="J236" s="17" t="s">
        <v>115</v>
      </c>
      <c r="K236" s="17" t="s">
        <v>56</v>
      </c>
      <c r="L236" s="564"/>
      <c r="M236" s="562"/>
      <c r="N236" s="563"/>
      <c r="O236" s="579"/>
      <c r="P236" s="9"/>
    </row>
    <row r="237" spans="1:17">
      <c r="A237" s="13" t="s">
        <v>2</v>
      </c>
      <c r="B237" s="9" t="s">
        <v>2</v>
      </c>
      <c r="C237" s="17" t="s">
        <v>2</v>
      </c>
      <c r="E237" s="17"/>
      <c r="F237" s="17"/>
      <c r="L237" s="86"/>
      <c r="M237" s="82"/>
      <c r="N237" s="85"/>
      <c r="O237" s="85"/>
      <c r="P237" s="9"/>
    </row>
    <row r="238" spans="1:17">
      <c r="A238" s="13"/>
      <c r="B238" s="9" t="s">
        <v>238</v>
      </c>
      <c r="C238" s="17"/>
      <c r="D238" s="45" t="s">
        <v>110</v>
      </c>
      <c r="E238" s="17"/>
      <c r="F238" s="17"/>
      <c r="G238" s="56" t="s">
        <v>116</v>
      </c>
      <c r="H238" s="65" t="s">
        <v>2</v>
      </c>
      <c r="I238" s="53" t="s">
        <v>117</v>
      </c>
      <c r="J238" s="17"/>
      <c r="K238" s="17"/>
      <c r="L238" s="86"/>
      <c r="M238" s="82"/>
      <c r="N238" s="85"/>
      <c r="O238" s="85"/>
      <c r="P238" s="9"/>
    </row>
    <row r="239" spans="1:17">
      <c r="A239" s="13">
        <v>17</v>
      </c>
      <c r="B239" s="9" t="s">
        <v>118</v>
      </c>
      <c r="C239" s="17"/>
      <c r="D239" s="54">
        <v>0</v>
      </c>
      <c r="E239" s="17"/>
      <c r="G239" s="13" t="s">
        <v>119</v>
      </c>
      <c r="H239" s="65"/>
      <c r="I239" s="13" t="s">
        <v>120</v>
      </c>
      <c r="J239" s="17"/>
      <c r="K239" s="13" t="s">
        <v>58</v>
      </c>
      <c r="L239" s="86"/>
      <c r="M239" s="82"/>
      <c r="N239" s="85"/>
      <c r="O239" s="85"/>
      <c r="P239" s="9"/>
    </row>
    <row r="240" spans="1:17">
      <c r="A240" s="13">
        <v>18</v>
      </c>
      <c r="B240" s="9" t="s">
        <v>121</v>
      </c>
      <c r="C240" s="17"/>
      <c r="D240" s="54">
        <v>0</v>
      </c>
      <c r="E240" s="17"/>
      <c r="G240" s="27">
        <f>IF(D242&gt;0,D239/D242,0)</f>
        <v>0</v>
      </c>
      <c r="H240" s="56" t="s">
        <v>122</v>
      </c>
      <c r="I240" s="27">
        <f>I236</f>
        <v>5.3834060081911862E-2</v>
      </c>
      <c r="J240" s="65" t="s">
        <v>115</v>
      </c>
      <c r="K240" s="27">
        <f>I240*G240</f>
        <v>0</v>
      </c>
      <c r="L240" s="86"/>
      <c r="M240" s="82"/>
      <c r="N240" s="85"/>
      <c r="O240" s="85"/>
      <c r="P240" s="9"/>
    </row>
    <row r="241" spans="1:16" ht="16.5" thickBot="1">
      <c r="A241" s="13">
        <v>19</v>
      </c>
      <c r="B241" s="96" t="s">
        <v>123</v>
      </c>
      <c r="C241" s="29"/>
      <c r="D241" s="52">
        <v>0</v>
      </c>
      <c r="E241" s="17"/>
      <c r="F241" s="17"/>
      <c r="G241" s="17" t="s">
        <v>2</v>
      </c>
      <c r="H241" s="17"/>
      <c r="I241" s="17"/>
      <c r="L241" s="86"/>
      <c r="M241" s="82"/>
      <c r="N241" s="85"/>
      <c r="O241" s="85"/>
      <c r="P241" s="9"/>
    </row>
    <row r="242" spans="1:16">
      <c r="A242" s="13">
        <v>20</v>
      </c>
      <c r="B242" s="9" t="s">
        <v>171</v>
      </c>
      <c r="C242" s="17"/>
      <c r="D242" s="17">
        <f>D239+D240+D241</f>
        <v>0</v>
      </c>
      <c r="E242" s="17"/>
      <c r="F242" s="17"/>
      <c r="G242" s="17"/>
      <c r="H242" s="17"/>
      <c r="I242" s="17"/>
      <c r="J242" s="17"/>
      <c r="K242" s="17"/>
      <c r="L242" s="86"/>
      <c r="M242" s="82"/>
      <c r="N242" s="85"/>
      <c r="O242" s="85"/>
      <c r="P242" s="9"/>
    </row>
    <row r="243" spans="1:16">
      <c r="A243" s="13"/>
      <c r="B243" s="9" t="s">
        <v>2</v>
      </c>
      <c r="C243" s="17"/>
      <c r="E243" s="17"/>
      <c r="F243" s="17"/>
      <c r="G243" s="17"/>
      <c r="H243" s="17"/>
      <c r="I243" s="17" t="s">
        <v>2</v>
      </c>
      <c r="J243" s="17"/>
      <c r="K243" s="17"/>
      <c r="L243" s="86"/>
      <c r="M243" s="82"/>
      <c r="N243" s="85"/>
      <c r="O243" s="85"/>
      <c r="P243" s="9"/>
    </row>
    <row r="244" spans="1:16" ht="16.5" thickBot="1">
      <c r="A244" s="13"/>
      <c r="B244" s="9" t="s">
        <v>124</v>
      </c>
      <c r="C244" s="17"/>
      <c r="D244" s="93" t="s">
        <v>110</v>
      </c>
      <c r="E244" s="17"/>
      <c r="F244" s="17"/>
      <c r="G244" s="17"/>
      <c r="H244" s="17"/>
      <c r="J244" s="17" t="s">
        <v>2</v>
      </c>
      <c r="K244" s="17"/>
      <c r="L244" s="86"/>
      <c r="M244" s="82"/>
      <c r="N244" s="85"/>
      <c r="O244" s="85"/>
      <c r="P244" s="9"/>
    </row>
    <row r="245" spans="1:16">
      <c r="A245" s="13">
        <v>21</v>
      </c>
      <c r="B245" s="17" t="s">
        <v>125</v>
      </c>
      <c r="C245" s="11" t="s">
        <v>261</v>
      </c>
      <c r="D245" s="97">
        <f>'EIA 412 Sch 3 Electric'!C24+'EIA 412 Sch 3 Electric'!C25</f>
        <v>1912861.0334925365</v>
      </c>
      <c r="E245" s="17"/>
      <c r="F245" s="17"/>
      <c r="G245" s="17"/>
      <c r="H245" s="17"/>
      <c r="I245" s="17"/>
      <c r="J245" s="17"/>
      <c r="K245" s="17"/>
      <c r="L245" s="562"/>
      <c r="M245" s="563"/>
      <c r="N245" s="85"/>
      <c r="O245" s="85"/>
      <c r="P245" s="9"/>
    </row>
    <row r="246" spans="1:16">
      <c r="A246" s="13"/>
      <c r="B246" s="9"/>
      <c r="D246" s="17"/>
      <c r="E246" s="17"/>
      <c r="F246" s="17"/>
      <c r="G246" s="56" t="s">
        <v>126</v>
      </c>
      <c r="H246" s="17"/>
      <c r="I246" s="17"/>
      <c r="J246" s="17"/>
      <c r="K246" s="17"/>
      <c r="L246" s="562"/>
      <c r="M246" s="563"/>
      <c r="N246" s="85"/>
      <c r="O246" s="85"/>
      <c r="P246" s="9"/>
    </row>
    <row r="247" spans="1:16" ht="16.5" thickBot="1">
      <c r="A247" s="13"/>
      <c r="B247" s="9"/>
      <c r="C247" s="11"/>
      <c r="D247" s="23" t="s">
        <v>110</v>
      </c>
      <c r="E247" s="23" t="s">
        <v>127</v>
      </c>
      <c r="F247" s="17"/>
      <c r="G247" s="23" t="s">
        <v>128</v>
      </c>
      <c r="H247" s="17"/>
      <c r="I247" s="23" t="s">
        <v>129</v>
      </c>
      <c r="J247" s="17"/>
      <c r="K247" s="17"/>
      <c r="L247" s="562"/>
      <c r="M247" s="563"/>
      <c r="N247" s="578"/>
      <c r="O247" s="85"/>
      <c r="P247" s="9"/>
    </row>
    <row r="248" spans="1:16">
      <c r="A248" s="13">
        <v>22</v>
      </c>
      <c r="B248" s="9" t="s">
        <v>130</v>
      </c>
      <c r="C248" s="11" t="s">
        <v>279</v>
      </c>
      <c r="D248" s="54">
        <f>'EIA 412 Sch 2 Electric'!F28</f>
        <v>84691487.820540413</v>
      </c>
      <c r="E248" s="98">
        <f>IF($D$250&gt;0,D248/$D$250,0)</f>
        <v>0.47261962104456612</v>
      </c>
      <c r="F248" s="99"/>
      <c r="G248" s="100">
        <f>IF(D248&gt;0,D245/D248,0)</f>
        <v>2.2586225401375063E-2</v>
      </c>
      <c r="I248" s="99">
        <f>G248*E248</f>
        <v>1.0674693290025036E-2</v>
      </c>
      <c r="J248" s="101" t="s">
        <v>131</v>
      </c>
      <c r="K248" s="17"/>
      <c r="L248" s="562"/>
      <c r="M248" s="563"/>
      <c r="N248" s="580"/>
      <c r="O248" s="85"/>
      <c r="P248" s="9"/>
    </row>
    <row r="249" spans="1:16" ht="16.5" thickBot="1">
      <c r="A249" s="13">
        <v>23</v>
      </c>
      <c r="B249" s="9" t="s">
        <v>132</v>
      </c>
      <c r="C249" s="11" t="s">
        <v>260</v>
      </c>
      <c r="D249" s="52">
        <f>'EIA 412 Sch 2 Electric'!F16</f>
        <v>94504389.898963645</v>
      </c>
      <c r="E249" s="102">
        <f>IF($D$250&gt;0,D249/$D$250,0)</f>
        <v>0.52738037895543388</v>
      </c>
      <c r="F249" s="99"/>
      <c r="G249" s="99">
        <f>I252</f>
        <v>0.1082</v>
      </c>
      <c r="I249" s="103">
        <f>G249*E249</f>
        <v>5.7062557002977951E-2</v>
      </c>
      <c r="L249" s="562"/>
      <c r="M249" s="563"/>
      <c r="N249" s="580"/>
      <c r="O249" s="85"/>
      <c r="P249" s="9"/>
    </row>
    <row r="250" spans="1:16">
      <c r="A250" s="13">
        <v>24</v>
      </c>
      <c r="B250" s="9" t="s">
        <v>172</v>
      </c>
      <c r="C250" s="11"/>
      <c r="D250" s="17">
        <f>SUM(D248:D249)</f>
        <v>179195877.71950406</v>
      </c>
      <c r="E250" s="104">
        <f>SUM(E248+E249)</f>
        <v>1</v>
      </c>
      <c r="F250" s="99"/>
      <c r="G250" s="99"/>
      <c r="I250" s="99">
        <f>SUM(I248:I249)</f>
        <v>6.7737250293002982E-2</v>
      </c>
      <c r="J250" s="101" t="s">
        <v>133</v>
      </c>
      <c r="L250" s="523" t="s">
        <v>1888</v>
      </c>
      <c r="M250" s="17"/>
      <c r="N250" s="9"/>
    </row>
    <row r="251" spans="1:16">
      <c r="A251" s="13" t="s">
        <v>2</v>
      </c>
      <c r="B251" s="9"/>
      <c r="D251" s="17"/>
      <c r="E251" s="17" t="s">
        <v>2</v>
      </c>
      <c r="F251" s="17"/>
      <c r="G251" s="17"/>
      <c r="H251" s="17"/>
      <c r="I251" s="99"/>
      <c r="L251" s="105"/>
      <c r="M251" s="106"/>
      <c r="N251" s="106"/>
      <c r="O251" s="106"/>
      <c r="P251" s="107"/>
    </row>
    <row r="252" spans="1:16">
      <c r="A252" s="13">
        <v>25</v>
      </c>
      <c r="E252" s="17"/>
      <c r="F252" s="17"/>
      <c r="G252" s="17"/>
      <c r="H252" s="59" t="s">
        <v>201</v>
      </c>
      <c r="I252" s="108">
        <f>P253+P254</f>
        <v>0.1082</v>
      </c>
      <c r="L252" s="109" t="s">
        <v>316</v>
      </c>
      <c r="M252" s="19"/>
      <c r="N252" s="19"/>
      <c r="O252" s="19"/>
      <c r="P252" s="110"/>
    </row>
    <row r="253" spans="1:16">
      <c r="A253" s="13">
        <v>26</v>
      </c>
      <c r="H253" s="7" t="s">
        <v>202</v>
      </c>
      <c r="I253" s="94">
        <f>IF(G248&gt;0,I250/G248,0)</f>
        <v>2.9990513726511865</v>
      </c>
      <c r="L253" s="109" t="s">
        <v>317</v>
      </c>
      <c r="M253" s="19"/>
      <c r="N253" s="19"/>
      <c r="O253" s="19"/>
      <c r="P253" s="111">
        <v>0.1032</v>
      </c>
    </row>
    <row r="254" spans="1:16">
      <c r="A254" s="13"/>
      <c r="B254" s="9" t="s">
        <v>134</v>
      </c>
      <c r="C254" s="11"/>
      <c r="D254" s="11"/>
      <c r="E254" s="11"/>
      <c r="F254" s="11"/>
      <c r="G254" s="11"/>
      <c r="H254" s="11"/>
      <c r="I254" s="11"/>
      <c r="K254" s="17"/>
      <c r="L254" s="109" t="s">
        <v>318</v>
      </c>
      <c r="M254" s="19"/>
      <c r="N254" s="19"/>
      <c r="O254" s="19"/>
      <c r="P254" s="111">
        <v>5.0000000000000001E-3</v>
      </c>
    </row>
    <row r="255" spans="1:16" ht="16.5" thickBot="1">
      <c r="A255" s="13"/>
      <c r="B255" s="9"/>
      <c r="C255" s="9"/>
      <c r="D255" s="9"/>
      <c r="E255" s="9"/>
      <c r="F255" s="9"/>
      <c r="G255" s="9"/>
      <c r="H255" s="9"/>
      <c r="I255" s="23" t="s">
        <v>135</v>
      </c>
      <c r="J255" s="11"/>
      <c r="K255" s="11"/>
      <c r="L255" s="112"/>
      <c r="M255" s="113"/>
      <c r="N255" s="113"/>
      <c r="O255" s="113"/>
      <c r="P255" s="114"/>
    </row>
    <row r="256" spans="1:16">
      <c r="A256" s="13"/>
      <c r="B256" s="9" t="s">
        <v>136</v>
      </c>
      <c r="C256" s="11"/>
      <c r="D256" s="11"/>
      <c r="E256" s="11"/>
      <c r="F256" s="11"/>
      <c r="G256" s="79" t="s">
        <v>2</v>
      </c>
      <c r="H256" s="77"/>
      <c r="I256" s="1"/>
      <c r="J256" s="9"/>
      <c r="K256" s="9"/>
      <c r="L256" s="86"/>
      <c r="M256" s="82"/>
      <c r="N256" s="85"/>
      <c r="O256" s="85"/>
      <c r="P256" s="9"/>
    </row>
    <row r="257" spans="1:17">
      <c r="A257" s="13">
        <v>27</v>
      </c>
      <c r="B257" s="6" t="s">
        <v>137</v>
      </c>
      <c r="C257" s="11"/>
      <c r="D257" s="11"/>
      <c r="E257" s="11" t="s">
        <v>138</v>
      </c>
      <c r="F257" s="11"/>
      <c r="H257" s="77"/>
      <c r="I257" s="54">
        <v>0</v>
      </c>
      <c r="J257" s="9"/>
      <c r="K257" s="9"/>
      <c r="L257" s="86"/>
      <c r="M257" s="82"/>
      <c r="N257" s="569"/>
      <c r="O257" s="85"/>
      <c r="P257" s="9"/>
    </row>
    <row r="258" spans="1:17" ht="16.5" thickBot="1">
      <c r="A258" s="13">
        <v>28</v>
      </c>
      <c r="B258" s="57" t="s">
        <v>173</v>
      </c>
      <c r="C258" s="80"/>
      <c r="D258" s="19"/>
      <c r="E258" s="18"/>
      <c r="F258" s="18"/>
      <c r="G258" s="18"/>
      <c r="H258" s="11"/>
      <c r="I258" s="52">
        <v>0</v>
      </c>
      <c r="J258" s="9"/>
      <c r="K258" s="9"/>
      <c r="L258" s="86"/>
      <c r="M258" s="82"/>
      <c r="N258" s="86"/>
      <c r="O258" s="85"/>
      <c r="P258" s="9"/>
    </row>
    <row r="259" spans="1:17">
      <c r="A259" s="13">
        <v>29</v>
      </c>
      <c r="B259" s="6" t="s">
        <v>139</v>
      </c>
      <c r="C259" s="11"/>
      <c r="D259" s="19"/>
      <c r="E259" s="18"/>
      <c r="F259" s="18"/>
      <c r="G259" s="18"/>
      <c r="H259" s="11"/>
      <c r="I259" s="54">
        <f>+I257-I258</f>
        <v>0</v>
      </c>
      <c r="J259" s="9"/>
      <c r="K259" s="9"/>
      <c r="L259" s="86"/>
      <c r="M259" s="82"/>
      <c r="N259" s="86"/>
      <c r="O259" s="85"/>
      <c r="P259" s="9"/>
    </row>
    <row r="260" spans="1:17">
      <c r="A260" s="13"/>
      <c r="B260" s="6" t="s">
        <v>2</v>
      </c>
      <c r="C260" s="11"/>
      <c r="D260" s="19"/>
      <c r="E260" s="18"/>
      <c r="F260" s="18"/>
      <c r="G260" s="115"/>
      <c r="H260" s="11"/>
      <c r="I260" s="2" t="s">
        <v>2</v>
      </c>
      <c r="J260" s="9"/>
      <c r="K260" s="9"/>
      <c r="L260" s="86"/>
      <c r="M260" s="82"/>
      <c r="N260" s="86"/>
      <c r="O260" s="85"/>
      <c r="P260" s="9"/>
    </row>
    <row r="261" spans="1:17">
      <c r="A261" s="13">
        <v>30</v>
      </c>
      <c r="B261" s="9" t="s">
        <v>240</v>
      </c>
      <c r="C261" s="11"/>
      <c r="D261" s="19"/>
      <c r="E261" s="18"/>
      <c r="F261" s="18"/>
      <c r="G261" s="115"/>
      <c r="H261" s="11"/>
      <c r="I261" s="3">
        <v>0</v>
      </c>
      <c r="J261" s="9"/>
      <c r="K261" s="9"/>
      <c r="L261" s="82"/>
      <c r="M261" s="82"/>
      <c r="N261" s="86"/>
      <c r="O261" s="85"/>
      <c r="P261" s="9"/>
    </row>
    <row r="262" spans="1:17">
      <c r="A262" s="13"/>
      <c r="C262" s="11"/>
      <c r="D262" s="18"/>
      <c r="E262" s="18"/>
      <c r="F262" s="18"/>
      <c r="G262" s="18"/>
      <c r="H262" s="11"/>
      <c r="I262" s="2"/>
      <c r="J262" s="9"/>
      <c r="K262" s="9"/>
      <c r="L262" s="82"/>
      <c r="M262" s="82"/>
      <c r="N262" s="86"/>
      <c r="O262" s="85"/>
      <c r="P262" s="9"/>
    </row>
    <row r="263" spans="1:17">
      <c r="B263" s="9" t="s">
        <v>193</v>
      </c>
      <c r="C263" s="11"/>
      <c r="D263" s="18"/>
      <c r="E263" s="18"/>
      <c r="F263" s="18"/>
      <c r="G263" s="18"/>
      <c r="H263" s="11"/>
      <c r="J263" s="9"/>
      <c r="K263" s="9"/>
      <c r="L263" s="82"/>
      <c r="M263" s="82"/>
      <c r="N263" s="86"/>
      <c r="O263" s="85"/>
      <c r="P263" s="9"/>
    </row>
    <row r="264" spans="1:17">
      <c r="A264" s="13">
        <v>31</v>
      </c>
      <c r="B264" s="9" t="s">
        <v>140</v>
      </c>
      <c r="C264" s="17"/>
      <c r="D264" s="71"/>
      <c r="E264" s="71"/>
      <c r="F264" s="71"/>
      <c r="G264" s="71"/>
      <c r="H264" s="17"/>
      <c r="I264" s="522">
        <f>'WP - Revenue Credits'!N15</f>
        <v>83417.927757251397</v>
      </c>
      <c r="J264" s="9"/>
      <c r="K264" s="9"/>
      <c r="L264" s="581"/>
      <c r="M264" s="562"/>
      <c r="N264" s="563"/>
      <c r="O264" s="84"/>
      <c r="P264" s="9"/>
    </row>
    <row r="265" spans="1:17">
      <c r="A265" s="13">
        <v>32</v>
      </c>
      <c r="B265" s="118" t="s">
        <v>174</v>
      </c>
      <c r="C265" s="18"/>
      <c r="D265" s="18"/>
      <c r="E265" s="18"/>
      <c r="F265" s="18"/>
      <c r="G265" s="18"/>
      <c r="H265" s="11"/>
      <c r="I265" s="116">
        <v>0</v>
      </c>
      <c r="J265" s="9"/>
      <c r="K265" s="9"/>
      <c r="L265" s="581"/>
      <c r="M265" s="562"/>
      <c r="N265" s="563"/>
      <c r="O265" s="85"/>
      <c r="P265" s="9"/>
    </row>
    <row r="266" spans="1:17">
      <c r="A266" s="13" t="s">
        <v>195</v>
      </c>
      <c r="B266" s="86" t="s">
        <v>292</v>
      </c>
      <c r="C266" s="84"/>
      <c r="D266" s="18"/>
      <c r="E266" s="18"/>
      <c r="F266" s="18"/>
      <c r="G266" s="18"/>
      <c r="H266" s="11"/>
      <c r="I266" s="116">
        <v>0</v>
      </c>
      <c r="J266" s="9"/>
      <c r="K266" s="9"/>
      <c r="L266" s="581"/>
      <c r="M266" s="562"/>
      <c r="N266" s="563"/>
      <c r="O266" s="85"/>
      <c r="P266" s="9"/>
    </row>
    <row r="267" spans="1:17" ht="16.5" thickBot="1">
      <c r="A267" s="13" t="s">
        <v>271</v>
      </c>
      <c r="B267" s="119" t="s">
        <v>293</v>
      </c>
      <c r="C267" s="120"/>
      <c r="D267" s="18"/>
      <c r="E267" s="18"/>
      <c r="F267" s="18"/>
      <c r="G267" s="18"/>
      <c r="H267" s="11"/>
      <c r="I267" s="121">
        <v>0</v>
      </c>
      <c r="J267" s="9"/>
      <c r="K267" s="9"/>
      <c r="L267" s="581"/>
      <c r="M267" s="562"/>
      <c r="N267" s="563"/>
      <c r="O267" s="85"/>
      <c r="P267" s="9"/>
    </row>
    <row r="268" spans="1:17" s="77" customFormat="1">
      <c r="A268" s="13">
        <v>33</v>
      </c>
      <c r="B268" s="6" t="s">
        <v>272</v>
      </c>
      <c r="C268" s="13"/>
      <c r="D268" s="71"/>
      <c r="E268" s="71"/>
      <c r="F268" s="71"/>
      <c r="G268" s="71"/>
      <c r="H268" s="11"/>
      <c r="I268" s="4">
        <f>+I264-I265-I266-I267</f>
        <v>83417.927757251397</v>
      </c>
      <c r="J268" s="9"/>
      <c r="K268" s="9"/>
      <c r="L268" s="4"/>
      <c r="M268" s="562"/>
      <c r="N268" s="563"/>
      <c r="O268" s="84"/>
      <c r="P268" s="9"/>
      <c r="Q268" s="6"/>
    </row>
    <row r="269" spans="1:17">
      <c r="A269" s="13"/>
      <c r="B269" s="122"/>
      <c r="C269" s="13"/>
      <c r="D269" s="71"/>
      <c r="E269" s="71"/>
      <c r="F269" s="71"/>
      <c r="G269" s="71"/>
      <c r="H269" s="11"/>
      <c r="I269" s="4"/>
      <c r="J269" s="9"/>
      <c r="K269" s="9"/>
      <c r="L269" s="582"/>
      <c r="M269" s="571"/>
      <c r="N269" s="583"/>
      <c r="O269" s="570"/>
      <c r="P269" s="123"/>
      <c r="Q269" s="77"/>
    </row>
    <row r="270" spans="1:17">
      <c r="A270" s="13"/>
      <c r="B270" s="122"/>
      <c r="C270" s="13"/>
      <c r="D270" s="71"/>
      <c r="E270" s="71"/>
      <c r="F270" s="71"/>
      <c r="G270" s="71"/>
      <c r="H270" s="11"/>
      <c r="I270" s="4"/>
      <c r="J270" s="9"/>
      <c r="K270" s="9"/>
      <c r="L270" s="582"/>
      <c r="M270" s="82"/>
      <c r="N270" s="86"/>
      <c r="O270" s="84"/>
      <c r="P270" s="9"/>
    </row>
    <row r="271" spans="1:17">
      <c r="A271" s="13"/>
      <c r="B271" s="122"/>
      <c r="C271" s="13"/>
      <c r="D271" s="71"/>
      <c r="E271" s="71"/>
      <c r="F271" s="71"/>
      <c r="G271" s="71"/>
      <c r="H271" s="11"/>
      <c r="I271" s="4"/>
      <c r="J271" s="9"/>
      <c r="K271" s="9"/>
      <c r="L271" s="582"/>
      <c r="M271" s="82"/>
      <c r="N271" s="86"/>
      <c r="O271" s="84"/>
      <c r="P271" s="9"/>
    </row>
    <row r="272" spans="1:17">
      <c r="A272" s="13"/>
      <c r="B272" s="122"/>
      <c r="C272" s="13"/>
      <c r="D272" s="71"/>
      <c r="E272" s="71"/>
      <c r="F272" s="71"/>
      <c r="G272" s="71"/>
      <c r="H272" s="11"/>
      <c r="I272" s="4"/>
      <c r="J272" s="9"/>
      <c r="K272" s="7" t="s">
        <v>300</v>
      </c>
      <c r="L272" s="117"/>
      <c r="N272" s="9"/>
      <c r="O272" s="11"/>
      <c r="P272" s="9"/>
    </row>
    <row r="273" spans="1:16">
      <c r="B273" s="9"/>
      <c r="C273" s="9"/>
      <c r="E273" s="9"/>
      <c r="F273" s="9"/>
      <c r="G273" s="9"/>
      <c r="H273" s="11"/>
      <c r="I273" s="11"/>
      <c r="K273" s="12" t="s">
        <v>188</v>
      </c>
      <c r="L273" s="11"/>
      <c r="N273" s="11"/>
      <c r="O273" s="11"/>
      <c r="P273" s="11"/>
    </row>
    <row r="274" spans="1:16">
      <c r="A274" s="13"/>
      <c r="B274" s="122" t="str">
        <f>B4</f>
        <v xml:space="preserve">Formula Rate - Non-Levelized </v>
      </c>
      <c r="C274" s="586" t="str">
        <f>D4</f>
        <v xml:space="preserve">   Rate Formula Template</v>
      </c>
      <c r="D274" s="586"/>
      <c r="E274" s="17"/>
      <c r="F274" s="17"/>
      <c r="G274" s="17"/>
      <c r="H274" s="24"/>
      <c r="J274" s="11"/>
      <c r="K274" s="124" t="str">
        <f>K4</f>
        <v>For the 12 months ended 4/30/16</v>
      </c>
      <c r="L274" s="11"/>
      <c r="N274" s="11"/>
      <c r="O274" s="11"/>
      <c r="P274" s="11"/>
    </row>
    <row r="275" spans="1:16">
      <c r="A275" s="13"/>
      <c r="B275" s="122"/>
      <c r="C275" s="13"/>
      <c r="D275" s="17" t="str">
        <f>D5</f>
        <v>Utilizing EIA Form 412 Data</v>
      </c>
      <c r="E275" s="17"/>
      <c r="F275" s="17"/>
      <c r="G275" s="17"/>
      <c r="H275" s="11"/>
      <c r="I275" s="125"/>
      <c r="J275" s="1"/>
      <c r="K275" s="5"/>
      <c r="L275" s="11"/>
      <c r="N275" s="11"/>
      <c r="O275" s="11"/>
      <c r="P275" s="11"/>
    </row>
    <row r="276" spans="1:16">
      <c r="A276" s="13"/>
      <c r="B276" s="122"/>
      <c r="C276" s="13"/>
      <c r="D276" s="17" t="str">
        <f>D7</f>
        <v>CITY OF ALEXANDRIA</v>
      </c>
      <c r="E276" s="17"/>
      <c r="F276" s="17"/>
      <c r="G276" s="17"/>
      <c r="H276" s="11"/>
      <c r="I276" s="125"/>
      <c r="J276" s="1"/>
      <c r="K276" s="5"/>
      <c r="L276" s="11"/>
      <c r="N276" s="11"/>
      <c r="O276" s="11"/>
      <c r="P276" s="11"/>
    </row>
    <row r="277" spans="1:16">
      <c r="A277" s="13"/>
      <c r="B277" s="9" t="s">
        <v>141</v>
      </c>
      <c r="C277" s="13"/>
      <c r="D277" s="17"/>
      <c r="E277" s="17"/>
      <c r="F277" s="17"/>
      <c r="G277" s="17"/>
      <c r="H277" s="11"/>
      <c r="I277" s="17"/>
      <c r="J277" s="1"/>
      <c r="K277" s="5"/>
      <c r="L277" s="11"/>
      <c r="N277" s="13"/>
      <c r="O277" s="11"/>
      <c r="P277" s="9"/>
    </row>
    <row r="278" spans="1:16">
      <c r="A278" s="13"/>
      <c r="B278" s="126" t="s">
        <v>207</v>
      </c>
      <c r="C278" s="13"/>
      <c r="D278" s="17"/>
      <c r="E278" s="17"/>
      <c r="F278" s="17"/>
      <c r="G278" s="17"/>
      <c r="H278" s="11"/>
      <c r="I278" s="17"/>
      <c r="J278" s="11"/>
      <c r="K278" s="17"/>
      <c r="L278" s="11"/>
      <c r="N278" s="13"/>
      <c r="O278" s="11"/>
      <c r="P278" s="9"/>
    </row>
    <row r="279" spans="1:16">
      <c r="B279" s="126" t="s">
        <v>206</v>
      </c>
      <c r="C279" s="13"/>
      <c r="D279" s="17"/>
      <c r="E279" s="17"/>
      <c r="F279" s="17"/>
      <c r="G279" s="17"/>
      <c r="H279" s="11"/>
      <c r="I279" s="17"/>
      <c r="J279" s="11"/>
      <c r="K279" s="17"/>
      <c r="L279" s="11"/>
      <c r="N279" s="13"/>
      <c r="O279" s="11"/>
      <c r="P279" s="11"/>
    </row>
    <row r="280" spans="1:16">
      <c r="A280" s="13" t="s">
        <v>142</v>
      </c>
      <c r="B280" s="9" t="s">
        <v>205</v>
      </c>
      <c r="C280" s="11"/>
      <c r="D280" s="17"/>
      <c r="E280" s="17"/>
      <c r="F280" s="17"/>
      <c r="G280" s="30"/>
      <c r="H280" s="11"/>
      <c r="I280" s="17"/>
      <c r="J280" s="11"/>
      <c r="K280" s="17"/>
      <c r="L280" s="11"/>
      <c r="N280" s="13"/>
      <c r="O280" s="11"/>
      <c r="P280" s="11"/>
    </row>
    <row r="281" spans="1:16" ht="16.5" thickBot="1">
      <c r="A281" s="23" t="s">
        <v>143</v>
      </c>
      <c r="C281" s="11"/>
      <c r="D281" s="17"/>
      <c r="E281" s="17"/>
      <c r="F281" s="17"/>
      <c r="G281" s="17"/>
      <c r="H281" s="11"/>
      <c r="I281" s="17"/>
      <c r="J281" s="11"/>
      <c r="K281" s="17"/>
      <c r="L281" s="11"/>
      <c r="N281" s="13"/>
      <c r="O281" s="11"/>
      <c r="P281" s="11"/>
    </row>
    <row r="282" spans="1:16" ht="32.25" customHeight="1">
      <c r="A282" s="127" t="s">
        <v>144</v>
      </c>
      <c r="B282" s="585" t="s">
        <v>265</v>
      </c>
      <c r="C282" s="585"/>
      <c r="D282" s="585"/>
      <c r="E282" s="585"/>
      <c r="F282" s="585"/>
      <c r="G282" s="585"/>
      <c r="H282" s="585"/>
      <c r="I282" s="585"/>
      <c r="J282" s="585"/>
      <c r="K282" s="585"/>
      <c r="L282" s="11"/>
      <c r="N282" s="13"/>
      <c r="O282" s="11"/>
      <c r="P282" s="11"/>
    </row>
    <row r="283" spans="1:16" ht="63" customHeight="1">
      <c r="A283" s="127" t="s">
        <v>145</v>
      </c>
      <c r="B283" s="585" t="s">
        <v>266</v>
      </c>
      <c r="C283" s="585"/>
      <c r="D283" s="585"/>
      <c r="E283" s="585"/>
      <c r="F283" s="585"/>
      <c r="G283" s="585"/>
      <c r="H283" s="585"/>
      <c r="I283" s="585"/>
      <c r="J283" s="585"/>
      <c r="K283" s="585"/>
      <c r="L283" s="11"/>
      <c r="N283" s="13"/>
      <c r="O283" s="11"/>
      <c r="P283" s="11"/>
    </row>
    <row r="284" spans="1:16">
      <c r="A284" s="127" t="s">
        <v>146</v>
      </c>
      <c r="B284" s="585" t="s">
        <v>267</v>
      </c>
      <c r="C284" s="585"/>
      <c r="D284" s="585"/>
      <c r="E284" s="585"/>
      <c r="F284" s="585"/>
      <c r="G284" s="585"/>
      <c r="H284" s="585"/>
      <c r="I284" s="585"/>
      <c r="J284" s="585"/>
      <c r="K284" s="585"/>
      <c r="L284" s="11"/>
      <c r="N284" s="13"/>
      <c r="O284" s="11"/>
      <c r="P284" s="11"/>
    </row>
    <row r="285" spans="1:16">
      <c r="A285" s="127" t="s">
        <v>147</v>
      </c>
      <c r="B285" s="585" t="s">
        <v>267</v>
      </c>
      <c r="C285" s="585"/>
      <c r="D285" s="585"/>
      <c r="E285" s="585"/>
      <c r="F285" s="585"/>
      <c r="G285" s="585"/>
      <c r="H285" s="585"/>
      <c r="I285" s="585"/>
      <c r="J285" s="585"/>
      <c r="K285" s="585"/>
      <c r="L285" s="11"/>
      <c r="N285" s="13"/>
      <c r="O285" s="11"/>
      <c r="P285" s="11"/>
    </row>
    <row r="286" spans="1:16">
      <c r="A286" s="127" t="s">
        <v>148</v>
      </c>
      <c r="B286" s="585" t="s">
        <v>280</v>
      </c>
      <c r="C286" s="585"/>
      <c r="D286" s="585"/>
      <c r="E286" s="585"/>
      <c r="F286" s="585"/>
      <c r="G286" s="585"/>
      <c r="H286" s="585"/>
      <c r="I286" s="585"/>
      <c r="J286" s="585"/>
      <c r="K286" s="585"/>
      <c r="L286" s="11"/>
      <c r="N286" s="13"/>
      <c r="O286" s="11"/>
      <c r="P286" s="11"/>
    </row>
    <row r="287" spans="1:16" ht="48" customHeight="1">
      <c r="A287" s="127" t="s">
        <v>149</v>
      </c>
      <c r="B287" s="587" t="s">
        <v>242</v>
      </c>
      <c r="C287" s="587"/>
      <c r="D287" s="587"/>
      <c r="E287" s="587"/>
      <c r="F287" s="587"/>
      <c r="G287" s="587"/>
      <c r="H287" s="587"/>
      <c r="I287" s="587"/>
      <c r="J287" s="587"/>
      <c r="K287" s="587"/>
      <c r="L287" s="11"/>
      <c r="N287" s="13"/>
      <c r="O287" s="11"/>
      <c r="P287" s="11"/>
    </row>
    <row r="288" spans="1:16">
      <c r="A288" s="127" t="s">
        <v>150</v>
      </c>
      <c r="B288" s="587" t="s">
        <v>180</v>
      </c>
      <c r="C288" s="587"/>
      <c r="D288" s="587"/>
      <c r="E288" s="587"/>
      <c r="F288" s="587"/>
      <c r="G288" s="587"/>
      <c r="H288" s="587"/>
      <c r="I288" s="587"/>
      <c r="J288" s="587"/>
      <c r="K288" s="587"/>
      <c r="L288" s="11"/>
      <c r="N288" s="13"/>
      <c r="O288" s="11"/>
      <c r="P288" s="11"/>
    </row>
    <row r="289" spans="1:16" ht="32.25" customHeight="1">
      <c r="A289" s="127" t="s">
        <v>151</v>
      </c>
      <c r="B289" s="587" t="s">
        <v>243</v>
      </c>
      <c r="C289" s="587"/>
      <c r="D289" s="587"/>
      <c r="E289" s="587"/>
      <c r="F289" s="587"/>
      <c r="G289" s="587"/>
      <c r="H289" s="587"/>
      <c r="I289" s="587"/>
      <c r="J289" s="587"/>
      <c r="K289" s="587"/>
      <c r="L289" s="11"/>
      <c r="N289" s="13"/>
      <c r="O289" s="11"/>
      <c r="P289" s="11"/>
    </row>
    <row r="290" spans="1:16" ht="32.25" customHeight="1">
      <c r="A290" s="127" t="s">
        <v>152</v>
      </c>
      <c r="B290" s="585" t="s">
        <v>244</v>
      </c>
      <c r="C290" s="585"/>
      <c r="D290" s="585"/>
      <c r="E290" s="585"/>
      <c r="F290" s="585"/>
      <c r="G290" s="585"/>
      <c r="H290" s="585"/>
      <c r="I290" s="585"/>
      <c r="J290" s="585"/>
      <c r="K290" s="585"/>
      <c r="L290" s="11"/>
      <c r="N290" s="13"/>
      <c r="O290" s="11"/>
      <c r="P290" s="11"/>
    </row>
    <row r="291" spans="1:16" ht="32.25" customHeight="1">
      <c r="A291" s="127" t="s">
        <v>153</v>
      </c>
      <c r="B291" s="587" t="s">
        <v>245</v>
      </c>
      <c r="C291" s="587"/>
      <c r="D291" s="587"/>
      <c r="E291" s="587"/>
      <c r="F291" s="587"/>
      <c r="G291" s="587"/>
      <c r="H291" s="587"/>
      <c r="I291" s="587"/>
      <c r="J291" s="587"/>
      <c r="K291" s="587"/>
      <c r="L291" s="11"/>
      <c r="N291" s="13"/>
      <c r="O291" s="10"/>
      <c r="P291" s="11"/>
    </row>
    <row r="292" spans="1:16" ht="79.5" customHeight="1">
      <c r="A292" s="127" t="s">
        <v>154</v>
      </c>
      <c r="B292" s="587" t="s">
        <v>246</v>
      </c>
      <c r="C292" s="587"/>
      <c r="D292" s="587"/>
      <c r="E292" s="587"/>
      <c r="F292" s="587"/>
      <c r="G292" s="587"/>
      <c r="H292" s="587"/>
      <c r="I292" s="587"/>
      <c r="J292" s="587"/>
      <c r="K292" s="587"/>
      <c r="L292" s="11"/>
      <c r="N292" s="13"/>
      <c r="O292" s="11"/>
      <c r="P292" s="11"/>
    </row>
    <row r="293" spans="1:16">
      <c r="A293" s="127" t="s">
        <v>2</v>
      </c>
      <c r="B293" s="128" t="s">
        <v>241</v>
      </c>
      <c r="C293" s="129" t="s">
        <v>155</v>
      </c>
      <c r="D293" s="130">
        <v>0</v>
      </c>
      <c r="E293" s="129"/>
      <c r="F293" s="131"/>
      <c r="G293" s="131"/>
      <c r="H293" s="132"/>
      <c r="I293" s="131"/>
      <c r="J293" s="132"/>
      <c r="K293" s="131"/>
      <c r="L293" s="11"/>
      <c r="N293" s="13"/>
      <c r="O293" s="11"/>
      <c r="P293" s="11"/>
    </row>
    <row r="294" spans="1:16">
      <c r="A294" s="127"/>
      <c r="B294" s="129"/>
      <c r="C294" s="129" t="s">
        <v>156</v>
      </c>
      <c r="D294" s="130">
        <v>0</v>
      </c>
      <c r="E294" s="587" t="s">
        <v>157</v>
      </c>
      <c r="F294" s="587"/>
      <c r="G294" s="587"/>
      <c r="H294" s="587"/>
      <c r="I294" s="587"/>
      <c r="J294" s="587"/>
      <c r="K294" s="587"/>
      <c r="N294" s="13"/>
      <c r="O294" s="11"/>
      <c r="P294" s="11"/>
    </row>
    <row r="295" spans="1:16">
      <c r="A295" s="127"/>
      <c r="B295" s="129"/>
      <c r="C295" s="129" t="s">
        <v>158</v>
      </c>
      <c r="D295" s="130">
        <v>0</v>
      </c>
      <c r="E295" s="587" t="s">
        <v>159</v>
      </c>
      <c r="F295" s="587"/>
      <c r="G295" s="587"/>
      <c r="H295" s="587"/>
      <c r="I295" s="587"/>
      <c r="J295" s="587"/>
      <c r="K295" s="587"/>
      <c r="L295" s="11"/>
      <c r="N295" s="13"/>
      <c r="O295" s="11"/>
      <c r="P295" s="11"/>
    </row>
    <row r="296" spans="1:16">
      <c r="A296" s="127" t="s">
        <v>160</v>
      </c>
      <c r="B296" s="587" t="s">
        <v>194</v>
      </c>
      <c r="C296" s="587"/>
      <c r="D296" s="587"/>
      <c r="E296" s="587"/>
      <c r="F296" s="587"/>
      <c r="G296" s="587"/>
      <c r="H296" s="587"/>
      <c r="I296" s="587"/>
      <c r="J296" s="587"/>
      <c r="K296" s="587"/>
      <c r="L296" s="11"/>
      <c r="N296" s="13"/>
      <c r="O296" s="11"/>
      <c r="P296" s="11"/>
    </row>
    <row r="297" spans="1:16" ht="32.25" customHeight="1">
      <c r="A297" s="127" t="s">
        <v>161</v>
      </c>
      <c r="B297" s="587" t="s">
        <v>298</v>
      </c>
      <c r="C297" s="587"/>
      <c r="D297" s="587"/>
      <c r="E297" s="587"/>
      <c r="F297" s="587"/>
      <c r="G297" s="587"/>
      <c r="H297" s="587"/>
      <c r="I297" s="587"/>
      <c r="J297" s="587"/>
      <c r="K297" s="587"/>
      <c r="L297" s="133"/>
      <c r="N297" s="13"/>
      <c r="O297" s="11"/>
      <c r="P297" s="11"/>
    </row>
    <row r="298" spans="1:16" ht="48" customHeight="1">
      <c r="A298" s="127" t="s">
        <v>162</v>
      </c>
      <c r="B298" s="587" t="s">
        <v>263</v>
      </c>
      <c r="C298" s="587"/>
      <c r="D298" s="587"/>
      <c r="E298" s="587"/>
      <c r="F298" s="587"/>
      <c r="G298" s="587"/>
      <c r="H298" s="587"/>
      <c r="I298" s="587"/>
      <c r="J298" s="587"/>
      <c r="K298" s="587"/>
      <c r="L298" s="11"/>
      <c r="N298" s="13"/>
      <c r="O298" s="11"/>
      <c r="P298" s="11"/>
    </row>
    <row r="299" spans="1:16">
      <c r="A299" s="127" t="s">
        <v>163</v>
      </c>
      <c r="B299" s="587" t="s">
        <v>181</v>
      </c>
      <c r="C299" s="587"/>
      <c r="D299" s="587"/>
      <c r="E299" s="587"/>
      <c r="F299" s="587"/>
      <c r="G299" s="587"/>
      <c r="H299" s="587"/>
      <c r="I299" s="587"/>
      <c r="J299" s="587"/>
      <c r="K299" s="587"/>
      <c r="L299" s="11"/>
      <c r="N299" s="13"/>
      <c r="O299" s="10"/>
      <c r="P299" s="11"/>
    </row>
    <row r="300" spans="1:16" ht="176.25" customHeight="1">
      <c r="A300" s="127" t="s">
        <v>164</v>
      </c>
      <c r="B300" s="585" t="s">
        <v>315</v>
      </c>
      <c r="C300" s="585"/>
      <c r="D300" s="585"/>
      <c r="E300" s="585"/>
      <c r="F300" s="585"/>
      <c r="G300" s="585"/>
      <c r="H300" s="585"/>
      <c r="I300" s="585"/>
      <c r="J300" s="585"/>
      <c r="K300" s="585"/>
      <c r="L300" s="11"/>
      <c r="N300" s="13"/>
      <c r="O300" s="10"/>
      <c r="P300" s="11"/>
    </row>
    <row r="301" spans="1:16" ht="32.25" customHeight="1">
      <c r="A301" s="127" t="s">
        <v>165</v>
      </c>
      <c r="B301" s="587" t="s">
        <v>247</v>
      </c>
      <c r="C301" s="587"/>
      <c r="D301" s="587"/>
      <c r="E301" s="587"/>
      <c r="F301" s="587"/>
      <c r="G301" s="587"/>
      <c r="H301" s="587"/>
      <c r="I301" s="587"/>
      <c r="J301" s="587"/>
      <c r="K301" s="587"/>
      <c r="L301" s="11"/>
      <c r="N301" s="13"/>
      <c r="O301" s="11"/>
      <c r="P301" s="11"/>
    </row>
    <row r="302" spans="1:16">
      <c r="A302" s="127" t="s">
        <v>166</v>
      </c>
      <c r="B302" s="587" t="s">
        <v>167</v>
      </c>
      <c r="C302" s="587"/>
      <c r="D302" s="587"/>
      <c r="E302" s="587"/>
      <c r="F302" s="587"/>
      <c r="G302" s="587"/>
      <c r="H302" s="587"/>
      <c r="I302" s="587"/>
      <c r="J302" s="587"/>
      <c r="K302" s="587"/>
      <c r="L302" s="11"/>
      <c r="N302" s="13"/>
      <c r="O302" s="11"/>
      <c r="P302" s="11"/>
    </row>
    <row r="303" spans="1:16" ht="48" customHeight="1">
      <c r="A303" s="127" t="s">
        <v>182</v>
      </c>
      <c r="B303" s="587" t="s">
        <v>299</v>
      </c>
      <c r="C303" s="587"/>
      <c r="D303" s="587"/>
      <c r="E303" s="587"/>
      <c r="F303" s="587"/>
      <c r="G303" s="587"/>
      <c r="H303" s="587"/>
      <c r="I303" s="587"/>
      <c r="J303" s="587"/>
      <c r="K303" s="587"/>
      <c r="L303" s="11"/>
      <c r="N303" s="13"/>
      <c r="O303" s="11"/>
      <c r="P303" s="11"/>
    </row>
    <row r="304" spans="1:16" ht="65.25" customHeight="1">
      <c r="A304" s="134" t="s">
        <v>183</v>
      </c>
      <c r="B304" s="587" t="s">
        <v>262</v>
      </c>
      <c r="C304" s="587"/>
      <c r="D304" s="587"/>
      <c r="E304" s="587"/>
      <c r="F304" s="587"/>
      <c r="G304" s="587"/>
      <c r="H304" s="587"/>
      <c r="I304" s="587"/>
      <c r="J304" s="587"/>
      <c r="K304" s="587"/>
      <c r="L304" s="11"/>
      <c r="N304" s="13"/>
      <c r="O304" s="11"/>
      <c r="P304" s="11"/>
    </row>
    <row r="305" spans="1:16">
      <c r="A305" s="134" t="s">
        <v>189</v>
      </c>
      <c r="B305" s="587" t="s">
        <v>288</v>
      </c>
      <c r="C305" s="587"/>
      <c r="D305" s="587"/>
      <c r="E305" s="587"/>
      <c r="F305" s="587"/>
      <c r="G305" s="587"/>
      <c r="H305" s="587"/>
      <c r="I305" s="587"/>
      <c r="J305" s="587"/>
      <c r="K305" s="587"/>
      <c r="L305" s="11"/>
      <c r="N305" s="13"/>
      <c r="O305" s="11"/>
      <c r="P305" s="11"/>
    </row>
    <row r="306" spans="1:16">
      <c r="A306" s="135" t="s">
        <v>191</v>
      </c>
      <c r="B306" s="587" t="s">
        <v>289</v>
      </c>
      <c r="C306" s="587"/>
      <c r="D306" s="587"/>
      <c r="E306" s="587"/>
      <c r="F306" s="587"/>
      <c r="G306" s="587"/>
      <c r="H306" s="587"/>
      <c r="I306" s="587"/>
      <c r="J306" s="587"/>
      <c r="K306" s="587"/>
      <c r="L306" s="11"/>
      <c r="N306" s="56"/>
      <c r="O306" s="11"/>
      <c r="P306" s="11"/>
    </row>
    <row r="307" spans="1:16">
      <c r="A307" s="135" t="s">
        <v>196</v>
      </c>
      <c r="B307" s="587" t="s">
        <v>294</v>
      </c>
      <c r="C307" s="587"/>
      <c r="D307" s="587"/>
      <c r="E307" s="587"/>
      <c r="F307" s="587"/>
      <c r="G307" s="587"/>
      <c r="H307" s="587"/>
      <c r="I307" s="587"/>
      <c r="J307" s="587"/>
      <c r="K307" s="587"/>
      <c r="L307" s="11"/>
      <c r="N307" s="56"/>
      <c r="O307" s="11"/>
      <c r="P307" s="11"/>
    </row>
    <row r="308" spans="1:16" s="1" customFormat="1" ht="32.25" customHeight="1">
      <c r="A308" s="134" t="s">
        <v>197</v>
      </c>
      <c r="B308" s="587" t="s">
        <v>295</v>
      </c>
      <c r="C308" s="587"/>
      <c r="D308" s="587"/>
      <c r="E308" s="587"/>
      <c r="F308" s="587"/>
      <c r="G308" s="587"/>
      <c r="H308" s="587"/>
      <c r="I308" s="587"/>
      <c r="J308" s="587"/>
      <c r="K308" s="587"/>
      <c r="L308" s="75"/>
      <c r="N308" s="60"/>
      <c r="O308" s="75"/>
      <c r="P308" s="75"/>
    </row>
    <row r="309" spans="1:16" s="77" customFormat="1">
      <c r="A309" s="135" t="s">
        <v>273</v>
      </c>
      <c r="B309" s="587" t="s">
        <v>296</v>
      </c>
      <c r="C309" s="587"/>
      <c r="D309" s="587"/>
      <c r="E309" s="587"/>
      <c r="F309" s="587"/>
      <c r="G309" s="587"/>
      <c r="H309" s="587"/>
      <c r="I309" s="587"/>
      <c r="J309" s="587"/>
      <c r="K309" s="587"/>
      <c r="L309" s="79"/>
      <c r="N309" s="76"/>
      <c r="O309" s="79"/>
      <c r="P309" s="79"/>
    </row>
    <row r="310" spans="1:16" s="77" customFormat="1" ht="33" customHeight="1">
      <c r="A310" s="134" t="s">
        <v>274</v>
      </c>
      <c r="B310" s="587" t="s">
        <v>297</v>
      </c>
      <c r="C310" s="587"/>
      <c r="D310" s="587"/>
      <c r="E310" s="587"/>
      <c r="F310" s="587"/>
      <c r="G310" s="587"/>
      <c r="H310" s="587"/>
      <c r="I310" s="587"/>
      <c r="J310" s="587"/>
      <c r="K310" s="587"/>
      <c r="L310" s="79"/>
      <c r="N310" s="76"/>
      <c r="O310" s="79"/>
      <c r="P310" s="79"/>
    </row>
    <row r="311" spans="1:16" s="77" customFormat="1" ht="15" customHeight="1">
      <c r="A311" s="134" t="s">
        <v>275</v>
      </c>
      <c r="B311" s="136" t="s">
        <v>276</v>
      </c>
      <c r="C311" s="137"/>
      <c r="D311" s="137"/>
      <c r="E311" s="137"/>
      <c r="F311" s="137"/>
      <c r="G311" s="137"/>
      <c r="H311" s="137"/>
      <c r="I311" s="137"/>
      <c r="J311" s="137"/>
      <c r="K311" s="137"/>
      <c r="L311" s="79"/>
      <c r="N311" s="76"/>
      <c r="O311" s="79"/>
      <c r="P311" s="79"/>
    </row>
    <row r="312" spans="1:16" s="77" customFormat="1" ht="15" customHeight="1">
      <c r="A312" s="134" t="s">
        <v>277</v>
      </c>
      <c r="B312" s="138" t="s">
        <v>278</v>
      </c>
      <c r="C312" s="137"/>
      <c r="D312" s="137"/>
      <c r="E312" s="137"/>
      <c r="F312" s="137"/>
      <c r="G312" s="137"/>
      <c r="H312" s="137"/>
      <c r="I312" s="137"/>
      <c r="J312" s="137"/>
      <c r="K312" s="137"/>
      <c r="L312" s="79"/>
      <c r="N312" s="76"/>
      <c r="O312" s="79"/>
      <c r="P312" s="79"/>
    </row>
    <row r="313" spans="1:16" s="77" customFormat="1" ht="15" customHeight="1">
      <c r="A313" s="139" t="s">
        <v>308</v>
      </c>
      <c r="B313" s="75" t="s">
        <v>310</v>
      </c>
      <c r="C313" s="6"/>
      <c r="D313" s="132"/>
      <c r="E313" s="132"/>
      <c r="F313" s="132"/>
      <c r="G313" s="132"/>
      <c r="H313" s="132"/>
      <c r="I313" s="132"/>
      <c r="J313" s="132"/>
      <c r="K313" s="132"/>
      <c r="L313" s="79"/>
      <c r="N313" s="76"/>
      <c r="O313" s="79"/>
      <c r="P313" s="79"/>
    </row>
    <row r="314" spans="1:16" s="77" customFormat="1" ht="15" customHeight="1">
      <c r="A314" s="139"/>
      <c r="B314" s="75" t="s">
        <v>311</v>
      </c>
      <c r="C314" s="6"/>
      <c r="D314" s="132"/>
      <c r="E314" s="132"/>
      <c r="F314" s="132"/>
      <c r="G314" s="132"/>
      <c r="H314" s="132"/>
      <c r="I314" s="132"/>
      <c r="J314" s="132"/>
      <c r="K314" s="132"/>
      <c r="L314" s="79"/>
      <c r="N314" s="76"/>
      <c r="O314" s="79"/>
      <c r="P314" s="79"/>
    </row>
    <row r="315" spans="1:16">
      <c r="A315" s="139" t="s">
        <v>309</v>
      </c>
      <c r="B315" s="75" t="s">
        <v>312</v>
      </c>
      <c r="D315" s="11"/>
      <c r="E315" s="11"/>
      <c r="F315" s="11"/>
      <c r="G315" s="11"/>
      <c r="H315" s="11"/>
      <c r="I315" s="11"/>
      <c r="J315" s="11"/>
      <c r="K315" s="11"/>
      <c r="N315" s="13"/>
      <c r="O315" s="11"/>
      <c r="P315" s="11"/>
    </row>
    <row r="316" spans="1:16">
      <c r="A316" s="139"/>
      <c r="B316" s="75" t="s">
        <v>313</v>
      </c>
      <c r="D316" s="11"/>
      <c r="E316" s="11"/>
      <c r="F316" s="11"/>
      <c r="G316" s="11"/>
      <c r="H316" s="11"/>
      <c r="I316" s="11"/>
      <c r="J316" s="11"/>
      <c r="K316" s="11"/>
      <c r="N316" s="13"/>
      <c r="O316" s="11"/>
      <c r="P316" s="11"/>
    </row>
    <row r="317" spans="1:16">
      <c r="A317" s="13"/>
      <c r="B317" s="11"/>
      <c r="C317" s="11"/>
      <c r="D317" s="11"/>
      <c r="E317" s="11"/>
      <c r="F317" s="11"/>
      <c r="G317" s="11"/>
      <c r="H317" s="11"/>
      <c r="I317" s="11"/>
      <c r="J317" s="11"/>
      <c r="K317" s="11"/>
      <c r="N317" s="13"/>
      <c r="O317" s="11"/>
      <c r="P317" s="11"/>
    </row>
    <row r="318" spans="1:16">
      <c r="A318" s="13"/>
      <c r="B318" s="11"/>
      <c r="C318" s="11"/>
      <c r="D318" s="11"/>
      <c r="E318" s="11"/>
      <c r="F318" s="11"/>
      <c r="G318" s="11"/>
      <c r="H318" s="11"/>
      <c r="I318" s="11"/>
      <c r="J318" s="11"/>
      <c r="K318" s="11"/>
      <c r="N318" s="13"/>
      <c r="O318" s="11"/>
      <c r="P318" s="11"/>
    </row>
    <row r="319" spans="1:16">
      <c r="A319" s="13"/>
      <c r="B319" s="11"/>
      <c r="C319" s="11"/>
      <c r="D319" s="11"/>
      <c r="E319" s="11"/>
      <c r="F319" s="11"/>
      <c r="G319" s="11"/>
      <c r="H319" s="11"/>
      <c r="I319" s="11"/>
      <c r="J319" s="11"/>
      <c r="K319" s="11"/>
      <c r="N319" s="13"/>
      <c r="O319" s="11"/>
      <c r="P319" s="11"/>
    </row>
    <row r="320" spans="1:16">
      <c r="A320" s="13"/>
      <c r="B320" s="140"/>
      <c r="C320" s="11"/>
      <c r="D320" s="11"/>
      <c r="E320" s="11"/>
      <c r="F320" s="11"/>
      <c r="G320" s="11"/>
      <c r="H320" s="11"/>
      <c r="I320" s="11"/>
      <c r="J320" s="11"/>
      <c r="K320" s="11"/>
      <c r="O320" s="11"/>
      <c r="P320" s="11"/>
    </row>
    <row r="321" spans="1:16">
      <c r="A321" s="13"/>
      <c r="B321" s="11"/>
      <c r="C321" s="11"/>
      <c r="D321" s="11"/>
      <c r="E321" s="11"/>
      <c r="F321" s="11"/>
      <c r="G321" s="11"/>
      <c r="H321" s="11"/>
      <c r="I321" s="11"/>
      <c r="J321" s="11"/>
      <c r="K321" s="11"/>
      <c r="N321" s="13"/>
      <c r="O321" s="11"/>
      <c r="P321" s="11"/>
    </row>
    <row r="322" spans="1:16">
      <c r="A322" s="13"/>
      <c r="B322" s="11"/>
      <c r="C322" s="11"/>
      <c r="D322" s="11"/>
      <c r="E322" s="11"/>
      <c r="F322" s="11"/>
      <c r="G322" s="11"/>
      <c r="H322" s="11"/>
      <c r="I322" s="11"/>
      <c r="J322" s="11"/>
      <c r="K322" s="11"/>
      <c r="N322" s="13"/>
      <c r="O322" s="11"/>
      <c r="P322" s="11"/>
    </row>
    <row r="323" spans="1:16">
      <c r="A323" s="13"/>
      <c r="B323" s="11"/>
      <c r="C323" s="11"/>
      <c r="D323" s="11"/>
      <c r="E323" s="11"/>
      <c r="F323" s="11"/>
      <c r="G323" s="11"/>
      <c r="H323" s="11"/>
      <c r="I323" s="11"/>
      <c r="J323" s="11"/>
      <c r="K323" s="11"/>
      <c r="N323" s="13"/>
      <c r="O323" s="11"/>
      <c r="P323" s="11"/>
    </row>
    <row r="324" spans="1:16">
      <c r="A324" s="13"/>
      <c r="B324" s="11"/>
      <c r="C324" s="11"/>
      <c r="D324" s="11"/>
      <c r="E324" s="11"/>
      <c r="F324" s="11"/>
      <c r="G324" s="11"/>
      <c r="H324" s="11"/>
      <c r="I324" s="11"/>
      <c r="J324" s="11"/>
      <c r="K324" s="11"/>
      <c r="N324" s="13"/>
      <c r="O324" s="11"/>
      <c r="P324" s="11"/>
    </row>
    <row r="325" spans="1:16">
      <c r="A325" s="13"/>
      <c r="B325" s="11"/>
      <c r="C325" s="11"/>
      <c r="D325" s="11"/>
      <c r="E325" s="11"/>
      <c r="F325" s="11"/>
      <c r="G325" s="11"/>
      <c r="H325" s="11"/>
      <c r="I325" s="11"/>
      <c r="J325" s="11"/>
      <c r="K325" s="11"/>
      <c r="N325" s="13"/>
      <c r="O325" s="11"/>
      <c r="P325" s="11"/>
    </row>
    <row r="326" spans="1:16">
      <c r="A326" s="13"/>
      <c r="B326" s="11"/>
      <c r="C326" s="11"/>
      <c r="D326" s="11"/>
      <c r="E326" s="11"/>
      <c r="F326" s="11"/>
      <c r="G326" s="11"/>
      <c r="H326" s="11"/>
      <c r="I326" s="11"/>
      <c r="J326" s="11"/>
      <c r="K326" s="11"/>
      <c r="N326" s="13"/>
      <c r="O326" s="11"/>
      <c r="P326" s="11"/>
    </row>
    <row r="327" spans="1:16">
      <c r="A327" s="13"/>
      <c r="B327" s="11"/>
      <c r="C327" s="11"/>
      <c r="D327" s="11"/>
      <c r="E327" s="11"/>
      <c r="F327" s="11"/>
      <c r="G327" s="11"/>
      <c r="H327" s="11"/>
      <c r="I327" s="11"/>
      <c r="J327" s="11"/>
      <c r="K327" s="11"/>
      <c r="N327" s="13"/>
      <c r="O327" s="11"/>
      <c r="P327" s="11"/>
    </row>
    <row r="328" spans="1:16">
      <c r="A328" s="13"/>
      <c r="B328" s="11"/>
      <c r="C328" s="11"/>
      <c r="D328" s="11"/>
      <c r="E328" s="11"/>
      <c r="F328" s="11"/>
      <c r="G328" s="11"/>
      <c r="H328" s="11"/>
      <c r="I328" s="11"/>
      <c r="J328" s="11"/>
      <c r="K328" s="11"/>
      <c r="N328" s="13"/>
      <c r="O328" s="11"/>
      <c r="P328" s="11"/>
    </row>
    <row r="329" spans="1:16">
      <c r="A329" s="13"/>
      <c r="B329" s="11"/>
      <c r="C329" s="11"/>
      <c r="D329" s="11"/>
      <c r="E329" s="11"/>
      <c r="F329" s="11"/>
      <c r="G329" s="11"/>
      <c r="H329" s="11"/>
      <c r="I329" s="11"/>
      <c r="J329" s="11"/>
      <c r="K329" s="11"/>
      <c r="N329" s="13"/>
      <c r="O329" s="11"/>
      <c r="P329" s="11"/>
    </row>
    <row r="330" spans="1:16">
      <c r="B330" s="11"/>
      <c r="C330" s="11"/>
      <c r="D330" s="11"/>
      <c r="E330" s="11"/>
      <c r="F330" s="11"/>
      <c r="G330" s="11"/>
      <c r="H330" s="11"/>
      <c r="I330" s="11"/>
      <c r="J330" s="11"/>
      <c r="K330" s="11"/>
      <c r="N330" s="13"/>
      <c r="O330" s="11"/>
      <c r="P330" s="11"/>
    </row>
    <row r="331" spans="1:16">
      <c r="B331" s="11"/>
      <c r="C331" s="11"/>
      <c r="D331" s="11"/>
      <c r="E331" s="11"/>
      <c r="F331" s="11"/>
      <c r="G331" s="11"/>
      <c r="H331" s="11"/>
      <c r="I331" s="11"/>
      <c r="J331" s="11"/>
      <c r="K331" s="11"/>
      <c r="N331" s="13"/>
      <c r="O331" s="11"/>
      <c r="P331" s="11"/>
    </row>
    <row r="332" spans="1:16">
      <c r="B332" s="11"/>
      <c r="C332" s="11"/>
      <c r="D332" s="11"/>
      <c r="E332" s="11"/>
      <c r="F332" s="11"/>
      <c r="G332" s="11"/>
      <c r="H332" s="11"/>
      <c r="I332" s="11"/>
      <c r="J332" s="11"/>
      <c r="K332" s="11"/>
      <c r="N332" s="13"/>
      <c r="O332" s="11"/>
      <c r="P332" s="11"/>
    </row>
    <row r="333" spans="1:16">
      <c r="B333" s="11"/>
      <c r="C333" s="11"/>
      <c r="D333" s="11"/>
      <c r="E333" s="11"/>
      <c r="F333" s="11"/>
      <c r="G333" s="11"/>
      <c r="H333" s="11"/>
      <c r="I333" s="11"/>
      <c r="J333" s="11"/>
      <c r="K333" s="11"/>
      <c r="N333" s="11"/>
      <c r="O333" s="11"/>
      <c r="P333" s="11"/>
    </row>
    <row r="334" spans="1:16">
      <c r="B334" s="11"/>
      <c r="C334" s="11"/>
      <c r="D334" s="11"/>
      <c r="E334" s="11"/>
      <c r="F334" s="11"/>
      <c r="G334" s="11"/>
      <c r="H334" s="11"/>
      <c r="I334" s="11"/>
      <c r="J334" s="11"/>
      <c r="K334" s="11"/>
      <c r="N334" s="11"/>
      <c r="O334" s="11"/>
      <c r="P334" s="11"/>
    </row>
    <row r="335" spans="1:16">
      <c r="B335" s="11"/>
      <c r="C335" s="11"/>
      <c r="D335" s="11"/>
      <c r="E335" s="11"/>
      <c r="F335" s="11"/>
      <c r="G335" s="11"/>
      <c r="H335" s="11"/>
      <c r="I335" s="11"/>
      <c r="J335" s="11"/>
      <c r="K335" s="11"/>
      <c r="N335" s="11"/>
      <c r="O335" s="11"/>
      <c r="P335" s="11"/>
    </row>
    <row r="336" spans="1:16">
      <c r="B336" s="11"/>
      <c r="C336" s="11"/>
      <c r="D336" s="11"/>
      <c r="E336" s="11"/>
      <c r="F336" s="11"/>
      <c r="G336" s="11"/>
      <c r="H336" s="11"/>
      <c r="I336" s="11"/>
      <c r="J336" s="11"/>
      <c r="K336" s="11"/>
      <c r="N336" s="11"/>
      <c r="O336" s="11"/>
      <c r="P336" s="11"/>
    </row>
    <row r="337" spans="2:16">
      <c r="B337" s="11"/>
      <c r="C337" s="11"/>
      <c r="D337" s="11"/>
      <c r="E337" s="11"/>
      <c r="F337" s="11"/>
      <c r="G337" s="11"/>
      <c r="H337" s="11"/>
      <c r="I337" s="11"/>
      <c r="J337" s="11"/>
      <c r="K337" s="11"/>
      <c r="N337" s="11"/>
      <c r="O337" s="11"/>
      <c r="P337" s="11"/>
    </row>
    <row r="338" spans="2:16">
      <c r="B338" s="11"/>
      <c r="C338" s="11"/>
      <c r="D338" s="11"/>
      <c r="E338" s="11"/>
      <c r="F338" s="11"/>
      <c r="G338" s="11"/>
      <c r="H338" s="11"/>
      <c r="I338" s="11"/>
      <c r="J338" s="11"/>
      <c r="K338" s="11"/>
      <c r="N338" s="11"/>
      <c r="O338" s="11"/>
      <c r="P338" s="11"/>
    </row>
    <row r="339" spans="2:16">
      <c r="J339" s="11"/>
      <c r="K339" s="11"/>
      <c r="N339" s="11"/>
      <c r="O339" s="11"/>
      <c r="P339" s="11"/>
    </row>
    <row r="340" spans="2:16">
      <c r="N340" s="11"/>
      <c r="O340" s="11"/>
      <c r="P340" s="11"/>
    </row>
    <row r="341" spans="2:16">
      <c r="N341" s="11"/>
      <c r="O341" s="11"/>
      <c r="P341" s="11"/>
    </row>
  </sheetData>
  <protectedRanges>
    <protectedRange sqref="I4:K4 D7:E7 D16:D17 I20:I21 I27:I33 D45:D46 D83:D87 D91:D95 D107:D111 D114 D118:D119 D149:D157 D161:D163 D168:D169 D171:D174 D183 D196 I196 D200 I200 I216:I217 I224 D232:D235 D239:D241 D245 D248:D249 I252 I257:I259 I261 I264:I267 D293:D295 M19 L1:M8 L12 L10:M10 M23 M25:M26 M35:M82 M89:M90 M256:M263 N1:N12 M97:M99 M105:M106 M113 M115:M116 M121 M123:M148 M159:M160 M165:M167 M170 M188 M190:M191 M193:M195 M197:M199 M202:M214 M176:M184 M219:M222 M226:M231 N256:R1048576 L250:P255 N14:N249 M269:M1048576 O1:R249 M237:M249 L14:L249 L256:L1048576" name="Range1"/>
  </protectedRanges>
  <mergeCells count="29">
    <mergeCell ref="B309:K309"/>
    <mergeCell ref="B310:K310"/>
    <mergeCell ref="B304:K304"/>
    <mergeCell ref="B303:K303"/>
    <mergeCell ref="B302:K302"/>
    <mergeCell ref="B308:K308"/>
    <mergeCell ref="B306:K306"/>
    <mergeCell ref="B307:K307"/>
    <mergeCell ref="B305:K305"/>
    <mergeCell ref="E295:K295"/>
    <mergeCell ref="E294:K294"/>
    <mergeCell ref="B288:K288"/>
    <mergeCell ref="B287:K287"/>
    <mergeCell ref="B301:K301"/>
    <mergeCell ref="B300:K300"/>
    <mergeCell ref="B299:K299"/>
    <mergeCell ref="B298:K298"/>
    <mergeCell ref="B297:K297"/>
    <mergeCell ref="B296:K296"/>
    <mergeCell ref="B292:K292"/>
    <mergeCell ref="B291:K291"/>
    <mergeCell ref="B290:K290"/>
    <mergeCell ref="B289:K289"/>
    <mergeCell ref="B284:K284"/>
    <mergeCell ref="C274:D274"/>
    <mergeCell ref="B283:K283"/>
    <mergeCell ref="B282:K282"/>
    <mergeCell ref="B286:K286"/>
    <mergeCell ref="B285:K285"/>
  </mergeCells>
  <phoneticPr fontId="0" type="noConversion"/>
  <conditionalFormatting sqref="M19 M23 M25:M26 M35:M82 M89:M90 M97:M99 M105:M106 M113 M115:M116 M121 M123:M148 M159:M160 M165:M167 M170 M188 M190:M191 M193:M195 M197:M199 M176:M184">
    <cfRule type="cellIs" dxfId="39" priority="47" operator="lessThan">
      <formula>-0.2</formula>
    </cfRule>
    <cfRule type="cellIs" dxfId="38" priority="50" operator="greaterThan">
      <formula>0.2</formula>
    </cfRule>
  </conditionalFormatting>
  <conditionalFormatting sqref="M237:M249">
    <cfRule type="cellIs" dxfId="37" priority="48" operator="lessThan">
      <formula>-0.2</formula>
    </cfRule>
    <cfRule type="cellIs" dxfId="36" priority="49" operator="greaterThan">
      <formula>0.2</formula>
    </cfRule>
  </conditionalFormatting>
  <conditionalFormatting sqref="N83">
    <cfRule type="cellIs" dxfId="35" priority="15" operator="lessThan">
      <formula>-0.2</formula>
    </cfRule>
    <cfRule type="cellIs" dxfId="34" priority="16" operator="greaterThan">
      <formula>0.2</formula>
    </cfRule>
  </conditionalFormatting>
  <conditionalFormatting sqref="N20:N22">
    <cfRule type="cellIs" dxfId="33" priority="21" operator="lessThan">
      <formula>-0.2</formula>
    </cfRule>
    <cfRule type="cellIs" dxfId="32" priority="22" operator="greaterThan">
      <formula>0.2</formula>
    </cfRule>
  </conditionalFormatting>
  <conditionalFormatting sqref="N233:N236">
    <cfRule type="cellIs" dxfId="31" priority="3" operator="lessThan">
      <formula>-0.2</formula>
    </cfRule>
    <cfRule type="cellIs" dxfId="30" priority="4" operator="greaterThan">
      <formula>0.2</formula>
    </cfRule>
  </conditionalFormatting>
  <conditionalFormatting sqref="N232">
    <cfRule type="cellIs" dxfId="29" priority="5" operator="lessThan">
      <formula>-0.2</formula>
    </cfRule>
    <cfRule type="cellIs" dxfId="28" priority="6" operator="greaterThan">
      <formula>0.2</formula>
    </cfRule>
  </conditionalFormatting>
  <conditionalFormatting sqref="N14">
    <cfRule type="cellIs" dxfId="27" priority="29" operator="lessThan">
      <formula>-0.2</formula>
    </cfRule>
    <cfRule type="cellIs" dxfId="26" priority="30" operator="greaterThan">
      <formula>0.2</formula>
    </cfRule>
  </conditionalFormatting>
  <conditionalFormatting sqref="N11">
    <cfRule type="cellIs" dxfId="25" priority="27" operator="lessThan">
      <formula>-0.2</formula>
    </cfRule>
    <cfRule type="cellIs" dxfId="24" priority="28" operator="greaterThan">
      <formula>0.2</formula>
    </cfRule>
  </conditionalFormatting>
  <conditionalFormatting sqref="N15">
    <cfRule type="cellIs" dxfId="23" priority="25" operator="lessThan">
      <formula>-0.2</formula>
    </cfRule>
    <cfRule type="cellIs" dxfId="22" priority="26" operator="greaterThan">
      <formula>0.2</formula>
    </cfRule>
  </conditionalFormatting>
  <conditionalFormatting sqref="N16:N18">
    <cfRule type="cellIs" dxfId="21" priority="23" operator="lessThan">
      <formula>-0.2</formula>
    </cfRule>
    <cfRule type="cellIs" dxfId="20" priority="24" operator="greaterThan">
      <formula>0.2</formula>
    </cfRule>
  </conditionalFormatting>
  <conditionalFormatting sqref="N24">
    <cfRule type="cellIs" dxfId="19" priority="19" operator="lessThan">
      <formula>-0.2</formula>
    </cfRule>
    <cfRule type="cellIs" dxfId="18" priority="20" operator="greaterThan">
      <formula>0.2</formula>
    </cfRule>
  </conditionalFormatting>
  <conditionalFormatting sqref="N27:N34">
    <cfRule type="cellIs" dxfId="17" priority="17" operator="lessThan">
      <formula>-0.2</formula>
    </cfRule>
    <cfRule type="cellIs" dxfId="16" priority="18" operator="greaterThan">
      <formula>0.2</formula>
    </cfRule>
  </conditionalFormatting>
  <conditionalFormatting sqref="N122 N117:N120 N114 N107:N112 N100:N104 N91:N96 N84:N88">
    <cfRule type="cellIs" dxfId="15" priority="13" operator="lessThan">
      <formula>-0.2</formula>
    </cfRule>
    <cfRule type="cellIs" dxfId="14" priority="14" operator="greaterThan">
      <formula>0.2</formula>
    </cfRule>
  </conditionalFormatting>
  <conditionalFormatting sqref="N171:N175 N168:N169 N161:N164 N149:N158">
    <cfRule type="cellIs" dxfId="13" priority="11" operator="lessThan">
      <formula>-0.2</formula>
    </cfRule>
    <cfRule type="cellIs" dxfId="12" priority="12" operator="greaterThan">
      <formula>0.2</formula>
    </cfRule>
  </conditionalFormatting>
  <conditionalFormatting sqref="N200:N201 N196 N192 N189 N185:N187">
    <cfRule type="cellIs" dxfId="11" priority="9" operator="lessThan">
      <formula>-0.2</formula>
    </cfRule>
    <cfRule type="cellIs" dxfId="10" priority="10" operator="greaterThan">
      <formula>0.2</formula>
    </cfRule>
  </conditionalFormatting>
  <conditionalFormatting sqref="N223:N225 N215:N218">
    <cfRule type="cellIs" dxfId="9" priority="7" operator="lessThan">
      <formula>-0.2</formula>
    </cfRule>
    <cfRule type="cellIs" dxfId="8" priority="8" operator="greaterThan">
      <formula>0.2</formula>
    </cfRule>
  </conditionalFormatting>
  <conditionalFormatting sqref="N264:N268">
    <cfRule type="cellIs" dxfId="7" priority="1" operator="lessThan">
      <formula>-0.2</formula>
    </cfRule>
    <cfRule type="cellIs" dxfId="6" priority="2" operator="greaterThan">
      <formula>0.2</formula>
    </cfRule>
  </conditionalFormatting>
  <printOptions horizontalCentered="1"/>
  <pageMargins left="0.5" right="0.5" top="0.5" bottom="0.5" header="0.09" footer="0.25"/>
  <pageSetup scale="58" fitToHeight="5" orientation="portrait" horizontalDpi="300" verticalDpi="300" r:id="rId1"/>
  <headerFooter alignWithMargins="0">
    <oddFooter>&amp;RV34
EFF 06.16.15</oddFooter>
  </headerFooter>
  <rowBreaks count="5" manualBreakCount="5">
    <brk id="71" max="10" man="1"/>
    <brk id="137" max="10" man="1"/>
    <brk id="204" max="10" man="1"/>
    <brk id="271" max="10" man="1"/>
    <brk id="316" max="10"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61"/>
  <sheetViews>
    <sheetView zoomScale="85" zoomScaleNormal="85" workbookViewId="0">
      <pane ySplit="8" topLeftCell="A9" activePane="bottomLeft" state="frozen"/>
      <selection activeCell="I22" sqref="I22"/>
      <selection pane="bottomLeft" activeCell="I22" sqref="I22"/>
    </sheetView>
  </sheetViews>
  <sheetFormatPr defaultColWidth="8.88671875" defaultRowHeight="12.75"/>
  <cols>
    <col min="1" max="1" width="8.21875" style="391" customWidth="1"/>
    <col min="2" max="2" width="10.6640625" style="391" bestFit="1" customWidth="1"/>
    <col min="3" max="3" width="48.44140625" style="391" bestFit="1" customWidth="1"/>
    <col min="4" max="4" width="9.21875" style="391" customWidth="1"/>
    <col min="5" max="6" width="8.88671875" style="391" customWidth="1"/>
    <col min="7" max="7" width="13.44140625" style="391" customWidth="1"/>
    <col min="8" max="8" width="17.77734375" style="392" customWidth="1"/>
    <col min="9" max="9" width="13.88671875" style="392" customWidth="1"/>
    <col min="10" max="10" width="12.44140625" style="392" customWidth="1"/>
    <col min="11" max="11" width="19.44140625" style="391" customWidth="1"/>
    <col min="12" max="12" width="17.33203125" style="391" customWidth="1"/>
    <col min="13" max="13" width="31.21875" style="391" customWidth="1"/>
    <col min="14" max="14" width="8.88671875" style="391" customWidth="1"/>
    <col min="15" max="15" width="11.109375" style="392" customWidth="1"/>
    <col min="16" max="16" width="11" style="392" customWidth="1"/>
    <col min="17" max="17" width="11.109375" style="392" customWidth="1"/>
    <col min="18" max="18" width="10.21875" style="392" customWidth="1"/>
    <col min="19" max="19" width="10.5546875" style="392" customWidth="1"/>
    <col min="20" max="20" width="2.77734375" style="392" customWidth="1"/>
    <col min="21" max="24" width="10.5546875" style="392" customWidth="1"/>
    <col min="25" max="25" width="9" style="392" customWidth="1"/>
    <col min="26" max="26" width="2.77734375" style="392" customWidth="1"/>
    <col min="27" max="30" width="10.5546875" style="392" customWidth="1"/>
    <col min="31" max="31" width="9" style="392" customWidth="1"/>
    <col min="32" max="32" width="2.77734375" style="391" customWidth="1"/>
    <col min="33" max="33" width="7.77734375" style="391" customWidth="1"/>
    <col min="34" max="34" width="9.6640625" style="391" customWidth="1"/>
    <col min="35" max="35" width="8.109375" style="391" customWidth="1"/>
    <col min="36" max="36" width="7.44140625" style="391" customWidth="1"/>
    <col min="37" max="37" width="7.6640625" style="391" customWidth="1"/>
    <col min="38" max="38" width="2.77734375" style="391" customWidth="1"/>
    <col min="39" max="16384" width="8.88671875" style="391"/>
  </cols>
  <sheetData>
    <row r="1" spans="1:41">
      <c r="A1" s="270" t="s">
        <v>495</v>
      </c>
    </row>
    <row r="2" spans="1:41">
      <c r="A2" s="393" t="s">
        <v>520</v>
      </c>
    </row>
    <row r="3" spans="1:41">
      <c r="A3" s="393" t="s">
        <v>521</v>
      </c>
    </row>
    <row r="4" spans="1:41">
      <c r="A4" s="394" t="str">
        <f>'WP - Allocation Factors'!A3</f>
        <v>Fiscal Year Ending April 30, 2016</v>
      </c>
    </row>
    <row r="7" spans="1:41">
      <c r="H7" s="395" t="s">
        <v>522</v>
      </c>
      <c r="I7" s="395"/>
      <c r="J7" s="395"/>
      <c r="O7" s="396" t="s">
        <v>523</v>
      </c>
      <c r="P7" s="396"/>
      <c r="Q7" s="396"/>
      <c r="R7" s="396"/>
      <c r="S7" s="396"/>
      <c r="T7" s="397"/>
      <c r="U7" s="396" t="s">
        <v>524</v>
      </c>
      <c r="V7" s="396"/>
      <c r="W7" s="396"/>
      <c r="X7" s="396"/>
      <c r="Y7" s="396"/>
      <c r="Z7" s="397"/>
      <c r="AA7" s="396" t="s">
        <v>525</v>
      </c>
      <c r="AB7" s="396"/>
      <c r="AC7" s="396"/>
      <c r="AD7" s="396"/>
      <c r="AE7" s="396"/>
      <c r="AF7" s="398"/>
      <c r="AG7" s="399" t="s">
        <v>526</v>
      </c>
      <c r="AH7" s="399"/>
      <c r="AI7" s="399"/>
      <c r="AJ7" s="399"/>
      <c r="AK7" s="399"/>
    </row>
    <row r="8" spans="1:41" s="403" customFormat="1" ht="25.5">
      <c r="A8" s="400" t="s">
        <v>527</v>
      </c>
      <c r="B8" s="400" t="s">
        <v>528</v>
      </c>
      <c r="C8" s="400" t="s">
        <v>529</v>
      </c>
      <c r="D8" s="400" t="s">
        <v>530</v>
      </c>
      <c r="E8" s="400" t="s">
        <v>531</v>
      </c>
      <c r="F8" s="400" t="s">
        <v>532</v>
      </c>
      <c r="G8" s="400" t="s">
        <v>533</v>
      </c>
      <c r="H8" s="401" t="s">
        <v>512</v>
      </c>
      <c r="I8" s="401" t="s">
        <v>513</v>
      </c>
      <c r="J8" s="401" t="s">
        <v>514</v>
      </c>
      <c r="K8" s="400" t="s">
        <v>534</v>
      </c>
      <c r="L8" s="402" t="s">
        <v>535</v>
      </c>
      <c r="M8" s="400" t="s">
        <v>536</v>
      </c>
      <c r="O8" s="404" t="s">
        <v>504</v>
      </c>
      <c r="P8" s="404" t="s">
        <v>45</v>
      </c>
      <c r="Q8" s="404" t="s">
        <v>505</v>
      </c>
      <c r="R8" s="404" t="s">
        <v>515</v>
      </c>
      <c r="S8" s="404" t="s">
        <v>537</v>
      </c>
      <c r="T8" s="405"/>
      <c r="U8" s="404" t="s">
        <v>504</v>
      </c>
      <c r="V8" s="404" t="s">
        <v>45</v>
      </c>
      <c r="W8" s="404" t="s">
        <v>505</v>
      </c>
      <c r="X8" s="404" t="s">
        <v>515</v>
      </c>
      <c r="Y8" s="404" t="s">
        <v>537</v>
      </c>
      <c r="Z8" s="406"/>
      <c r="AA8" s="404" t="s">
        <v>504</v>
      </c>
      <c r="AB8" s="404" t="s">
        <v>45</v>
      </c>
      <c r="AC8" s="404" t="s">
        <v>505</v>
      </c>
      <c r="AD8" s="404" t="s">
        <v>515</v>
      </c>
      <c r="AE8" s="404" t="s">
        <v>537</v>
      </c>
      <c r="AG8" s="407" t="s">
        <v>504</v>
      </c>
      <c r="AH8" s="407" t="s">
        <v>45</v>
      </c>
      <c r="AI8" s="407" t="s">
        <v>505</v>
      </c>
      <c r="AJ8" s="407" t="s">
        <v>515</v>
      </c>
      <c r="AK8" s="407" t="s">
        <v>537</v>
      </c>
    </row>
    <row r="9" spans="1:41">
      <c r="A9" s="391" t="s">
        <v>541</v>
      </c>
      <c r="B9" s="408">
        <v>27149</v>
      </c>
      <c r="C9" s="391" t="s">
        <v>542</v>
      </c>
      <c r="D9" s="391" t="s">
        <v>543</v>
      </c>
      <c r="E9" s="391" t="s">
        <v>539</v>
      </c>
      <c r="F9" s="391" t="s">
        <v>540</v>
      </c>
      <c r="G9" s="391">
        <v>50</v>
      </c>
      <c r="H9" s="392">
        <v>14478.43</v>
      </c>
      <c r="I9" s="392">
        <v>12174.369999999999</v>
      </c>
      <c r="J9" s="392">
        <v>289.57</v>
      </c>
      <c r="K9" s="391" t="s">
        <v>504</v>
      </c>
      <c r="L9" s="391" t="s">
        <v>504</v>
      </c>
      <c r="O9" s="392">
        <f t="shared" ref="O9:S10" si="0">IF(O$8=$K9,$H9,0)</f>
        <v>14478.43</v>
      </c>
      <c r="P9" s="392">
        <f t="shared" si="0"/>
        <v>0</v>
      </c>
      <c r="Q9" s="392">
        <f t="shared" si="0"/>
        <v>0</v>
      </c>
      <c r="R9" s="392">
        <f t="shared" si="0"/>
        <v>0</v>
      </c>
      <c r="S9" s="392">
        <f t="shared" si="0"/>
        <v>0</v>
      </c>
      <c r="U9" s="392">
        <f t="shared" ref="U9:Y48" si="1">$I9*AG9</f>
        <v>12174.369999999999</v>
      </c>
      <c r="V9" s="392">
        <f t="shared" si="1"/>
        <v>0</v>
      </c>
      <c r="W9" s="392">
        <f t="shared" si="1"/>
        <v>0</v>
      </c>
      <c r="X9" s="392">
        <f t="shared" si="1"/>
        <v>0</v>
      </c>
      <c r="Y9" s="392">
        <f t="shared" si="1"/>
        <v>0</v>
      </c>
      <c r="AA9" s="392">
        <f t="shared" ref="AA9:AE48" si="2">$J9*AG9</f>
        <v>289.57</v>
      </c>
      <c r="AB9" s="392">
        <f t="shared" si="2"/>
        <v>0</v>
      </c>
      <c r="AC9" s="392">
        <f t="shared" si="2"/>
        <v>0</v>
      </c>
      <c r="AD9" s="392">
        <f t="shared" si="2"/>
        <v>0</v>
      </c>
      <c r="AE9" s="392">
        <f t="shared" si="2"/>
        <v>0</v>
      </c>
      <c r="AG9" s="409">
        <f t="shared" ref="AG9:AK10" si="3">IF($H9=0,0,O9/$H9)</f>
        <v>1</v>
      </c>
      <c r="AH9" s="409">
        <f t="shared" si="3"/>
        <v>0</v>
      </c>
      <c r="AI9" s="409">
        <f t="shared" si="3"/>
        <v>0</v>
      </c>
      <c r="AJ9" s="409">
        <f t="shared" si="3"/>
        <v>0</v>
      </c>
      <c r="AK9" s="409">
        <f t="shared" si="3"/>
        <v>0</v>
      </c>
      <c r="AN9" s="391">
        <v>14478.43</v>
      </c>
      <c r="AO9" s="423">
        <f t="shared" ref="AO9:AO59" si="4">H9-AN9</f>
        <v>0</v>
      </c>
    </row>
    <row r="10" spans="1:41">
      <c r="A10" s="391" t="s">
        <v>544</v>
      </c>
      <c r="B10" s="408">
        <v>27395</v>
      </c>
      <c r="C10" s="391" t="s">
        <v>545</v>
      </c>
      <c r="D10" s="391" t="s">
        <v>546</v>
      </c>
      <c r="E10" s="391" t="s">
        <v>547</v>
      </c>
      <c r="F10" s="391" t="s">
        <v>540</v>
      </c>
      <c r="G10" s="391">
        <v>99</v>
      </c>
      <c r="H10" s="392">
        <v>299808.94</v>
      </c>
      <c r="I10" s="392">
        <v>0</v>
      </c>
      <c r="J10" s="392">
        <v>0</v>
      </c>
      <c r="K10" s="391" t="s">
        <v>505</v>
      </c>
      <c r="L10" s="391" t="s">
        <v>505</v>
      </c>
      <c r="O10" s="392">
        <f t="shared" si="0"/>
        <v>0</v>
      </c>
      <c r="P10" s="392">
        <f t="shared" si="0"/>
        <v>0</v>
      </c>
      <c r="Q10" s="392">
        <f t="shared" si="0"/>
        <v>299808.94</v>
      </c>
      <c r="R10" s="392">
        <f t="shared" si="0"/>
        <v>0</v>
      </c>
      <c r="S10" s="392">
        <f t="shared" si="0"/>
        <v>0</v>
      </c>
      <c r="U10" s="392">
        <f t="shared" si="1"/>
        <v>0</v>
      </c>
      <c r="V10" s="392">
        <f t="shared" si="1"/>
        <v>0</v>
      </c>
      <c r="W10" s="392">
        <f t="shared" si="1"/>
        <v>0</v>
      </c>
      <c r="X10" s="392">
        <f t="shared" si="1"/>
        <v>0</v>
      </c>
      <c r="Y10" s="392">
        <f t="shared" si="1"/>
        <v>0</v>
      </c>
      <c r="AA10" s="392">
        <f t="shared" si="2"/>
        <v>0</v>
      </c>
      <c r="AB10" s="392">
        <f t="shared" si="2"/>
        <v>0</v>
      </c>
      <c r="AC10" s="392">
        <f t="shared" si="2"/>
        <v>0</v>
      </c>
      <c r="AD10" s="392">
        <f t="shared" si="2"/>
        <v>0</v>
      </c>
      <c r="AE10" s="392">
        <f t="shared" si="2"/>
        <v>0</v>
      </c>
      <c r="AG10" s="409">
        <f t="shared" si="3"/>
        <v>0</v>
      </c>
      <c r="AH10" s="409">
        <f t="shared" si="3"/>
        <v>0</v>
      </c>
      <c r="AI10" s="409">
        <f t="shared" si="3"/>
        <v>1</v>
      </c>
      <c r="AJ10" s="409">
        <f t="shared" si="3"/>
        <v>0</v>
      </c>
      <c r="AK10" s="409">
        <f t="shared" si="3"/>
        <v>0</v>
      </c>
      <c r="AN10" s="391">
        <v>299808.94</v>
      </c>
      <c r="AO10" s="423">
        <f t="shared" si="4"/>
        <v>0</v>
      </c>
    </row>
    <row r="11" spans="1:41">
      <c r="A11" s="391" t="s">
        <v>548</v>
      </c>
      <c r="B11" s="408">
        <v>27395</v>
      </c>
      <c r="C11" s="391" t="s">
        <v>549</v>
      </c>
      <c r="D11" s="391" t="s">
        <v>550</v>
      </c>
      <c r="E11" s="391" t="s">
        <v>547</v>
      </c>
      <c r="F11" s="391" t="s">
        <v>540</v>
      </c>
      <c r="G11" s="391">
        <v>99</v>
      </c>
      <c r="H11" s="392">
        <v>31980</v>
      </c>
      <c r="I11" s="392">
        <v>0</v>
      </c>
      <c r="J11" s="392">
        <v>0</v>
      </c>
      <c r="K11" s="391" t="s">
        <v>516</v>
      </c>
      <c r="L11" s="391" t="s">
        <v>516</v>
      </c>
      <c r="O11" s="392">
        <f>$H11*AG11</f>
        <v>0</v>
      </c>
      <c r="P11" s="392">
        <f t="shared" ref="P11:S11" si="5">$H11*AH11</f>
        <v>9594</v>
      </c>
      <c r="Q11" s="392">
        <f t="shared" si="5"/>
        <v>22386</v>
      </c>
      <c r="R11" s="392">
        <f t="shared" si="5"/>
        <v>0</v>
      </c>
      <c r="S11" s="392">
        <f t="shared" si="5"/>
        <v>0</v>
      </c>
      <c r="U11" s="392">
        <f t="shared" si="1"/>
        <v>0</v>
      </c>
      <c r="V11" s="392">
        <f t="shared" si="1"/>
        <v>0</v>
      </c>
      <c r="W11" s="392">
        <f t="shared" si="1"/>
        <v>0</v>
      </c>
      <c r="X11" s="392">
        <f t="shared" si="1"/>
        <v>0</v>
      </c>
      <c r="Y11" s="392">
        <f t="shared" si="1"/>
        <v>0</v>
      </c>
      <c r="AA11" s="392">
        <f t="shared" si="2"/>
        <v>0</v>
      </c>
      <c r="AB11" s="392">
        <f t="shared" si="2"/>
        <v>0</v>
      </c>
      <c r="AC11" s="392">
        <f t="shared" si="2"/>
        <v>0</v>
      </c>
      <c r="AD11" s="392">
        <f t="shared" si="2"/>
        <v>0</v>
      </c>
      <c r="AE11" s="392">
        <f t="shared" si="2"/>
        <v>0</v>
      </c>
      <c r="AG11" s="410">
        <v>0</v>
      </c>
      <c r="AH11" s="410">
        <v>0.3</v>
      </c>
      <c r="AI11" s="410">
        <f>1-AH11</f>
        <v>0.7</v>
      </c>
      <c r="AJ11" s="410">
        <v>0</v>
      </c>
      <c r="AK11" s="410">
        <v>0</v>
      </c>
      <c r="AN11" s="391">
        <v>31980</v>
      </c>
      <c r="AO11" s="423">
        <f t="shared" si="4"/>
        <v>0</v>
      </c>
    </row>
    <row r="12" spans="1:41">
      <c r="A12" s="391" t="s">
        <v>551</v>
      </c>
      <c r="B12" s="408">
        <v>27880</v>
      </c>
      <c r="C12" s="391" t="s">
        <v>552</v>
      </c>
      <c r="D12" s="391" t="s">
        <v>553</v>
      </c>
      <c r="E12" s="391" t="s">
        <v>539</v>
      </c>
      <c r="F12" s="391" t="s">
        <v>540</v>
      </c>
      <c r="G12" s="391">
        <v>30</v>
      </c>
      <c r="H12" s="392">
        <v>217493.06</v>
      </c>
      <c r="I12" s="392">
        <v>217493.06</v>
      </c>
      <c r="J12" s="392">
        <v>0</v>
      </c>
      <c r="K12" s="391" t="s">
        <v>516</v>
      </c>
      <c r="L12" s="391" t="s">
        <v>516</v>
      </c>
      <c r="O12" s="392">
        <f>$H12*AG12</f>
        <v>0</v>
      </c>
      <c r="P12" s="392">
        <f t="shared" ref="P12:S12" si="6">$H12*AH12</f>
        <v>65247.917999999998</v>
      </c>
      <c r="Q12" s="392">
        <f t="shared" si="6"/>
        <v>152245.14199999999</v>
      </c>
      <c r="R12" s="392">
        <f t="shared" si="6"/>
        <v>0</v>
      </c>
      <c r="S12" s="392">
        <f t="shared" si="6"/>
        <v>0</v>
      </c>
      <c r="U12" s="392">
        <f t="shared" si="1"/>
        <v>0</v>
      </c>
      <c r="V12" s="392">
        <f t="shared" si="1"/>
        <v>65247.917999999998</v>
      </c>
      <c r="W12" s="392">
        <f t="shared" si="1"/>
        <v>152245.14199999999</v>
      </c>
      <c r="X12" s="392">
        <f t="shared" si="1"/>
        <v>0</v>
      </c>
      <c r="Y12" s="392">
        <f t="shared" si="1"/>
        <v>0</v>
      </c>
      <c r="AA12" s="392">
        <f t="shared" si="2"/>
        <v>0</v>
      </c>
      <c r="AB12" s="392">
        <f t="shared" si="2"/>
        <v>0</v>
      </c>
      <c r="AC12" s="392">
        <f t="shared" si="2"/>
        <v>0</v>
      </c>
      <c r="AD12" s="392">
        <f t="shared" si="2"/>
        <v>0</v>
      </c>
      <c r="AE12" s="392">
        <f t="shared" si="2"/>
        <v>0</v>
      </c>
      <c r="AG12" s="410">
        <v>0</v>
      </c>
      <c r="AH12" s="410">
        <v>0.3</v>
      </c>
      <c r="AI12" s="410">
        <f>1-AH12</f>
        <v>0.7</v>
      </c>
      <c r="AJ12" s="410">
        <v>0</v>
      </c>
      <c r="AK12" s="410">
        <v>0</v>
      </c>
      <c r="AN12" s="391">
        <v>217493.06</v>
      </c>
      <c r="AO12" s="423">
        <f t="shared" si="4"/>
        <v>0</v>
      </c>
    </row>
    <row r="13" spans="1:41">
      <c r="A13" s="391" t="s">
        <v>554</v>
      </c>
      <c r="B13" s="408">
        <v>27880</v>
      </c>
      <c r="C13" s="391" t="s">
        <v>555</v>
      </c>
      <c r="D13" s="391" t="s">
        <v>556</v>
      </c>
      <c r="E13" s="391" t="s">
        <v>539</v>
      </c>
      <c r="F13" s="391" t="s">
        <v>540</v>
      </c>
      <c r="G13" s="391">
        <v>30</v>
      </c>
      <c r="H13" s="392">
        <v>12561589.18</v>
      </c>
      <c r="I13" s="392">
        <v>12561589.18</v>
      </c>
      <c r="J13" s="392">
        <v>0</v>
      </c>
      <c r="K13" s="391" t="s">
        <v>505</v>
      </c>
      <c r="L13" s="391" t="s">
        <v>505</v>
      </c>
      <c r="O13" s="392">
        <f t="shared" ref="O13:S16" si="7">IF(O$8=$K13,$H13,0)</f>
        <v>0</v>
      </c>
      <c r="P13" s="392">
        <f t="shared" si="7"/>
        <v>0</v>
      </c>
      <c r="Q13" s="392">
        <f t="shared" si="7"/>
        <v>12561589.18</v>
      </c>
      <c r="R13" s="392">
        <f t="shared" si="7"/>
        <v>0</v>
      </c>
      <c r="S13" s="392">
        <f t="shared" si="7"/>
        <v>0</v>
      </c>
      <c r="U13" s="392">
        <f t="shared" si="1"/>
        <v>0</v>
      </c>
      <c r="V13" s="392">
        <f t="shared" si="1"/>
        <v>0</v>
      </c>
      <c r="W13" s="392">
        <f t="shared" si="1"/>
        <v>12561589.18</v>
      </c>
      <c r="X13" s="392">
        <f t="shared" si="1"/>
        <v>0</v>
      </c>
      <c r="Y13" s="392">
        <f t="shared" si="1"/>
        <v>0</v>
      </c>
      <c r="AA13" s="392">
        <f t="shared" si="2"/>
        <v>0</v>
      </c>
      <c r="AB13" s="392">
        <f t="shared" si="2"/>
        <v>0</v>
      </c>
      <c r="AC13" s="392">
        <f t="shared" si="2"/>
        <v>0</v>
      </c>
      <c r="AD13" s="392">
        <f t="shared" si="2"/>
        <v>0</v>
      </c>
      <c r="AE13" s="392">
        <f t="shared" si="2"/>
        <v>0</v>
      </c>
      <c r="AG13" s="409">
        <f t="shared" ref="AG13:AK16" si="8">IF($H13=0,0,O13/$H13)</f>
        <v>0</v>
      </c>
      <c r="AH13" s="409">
        <f t="shared" si="8"/>
        <v>0</v>
      </c>
      <c r="AI13" s="409">
        <f t="shared" si="8"/>
        <v>1</v>
      </c>
      <c r="AJ13" s="409">
        <f t="shared" si="8"/>
        <v>0</v>
      </c>
      <c r="AK13" s="409">
        <f t="shared" si="8"/>
        <v>0</v>
      </c>
      <c r="AN13" s="391">
        <v>12561589.18</v>
      </c>
      <c r="AO13" s="423">
        <f t="shared" si="4"/>
        <v>0</v>
      </c>
    </row>
    <row r="14" spans="1:41">
      <c r="A14" s="391" t="s">
        <v>554</v>
      </c>
      <c r="B14" s="408">
        <v>28245</v>
      </c>
      <c r="C14" s="391" t="s">
        <v>557</v>
      </c>
      <c r="D14" s="391" t="s">
        <v>558</v>
      </c>
      <c r="E14" s="391" t="s">
        <v>539</v>
      </c>
      <c r="F14" s="391" t="s">
        <v>540</v>
      </c>
      <c r="G14" s="391">
        <v>30</v>
      </c>
      <c r="H14" s="392">
        <v>444735.72</v>
      </c>
      <c r="I14" s="392">
        <v>444735.72</v>
      </c>
      <c r="J14" s="392">
        <v>0</v>
      </c>
      <c r="K14" s="391" t="s">
        <v>505</v>
      </c>
      <c r="L14" s="391" t="s">
        <v>505</v>
      </c>
      <c r="O14" s="392">
        <f t="shared" si="7"/>
        <v>0</v>
      </c>
      <c r="P14" s="392">
        <f t="shared" si="7"/>
        <v>0</v>
      </c>
      <c r="Q14" s="392">
        <f t="shared" si="7"/>
        <v>444735.72</v>
      </c>
      <c r="R14" s="392">
        <f t="shared" si="7"/>
        <v>0</v>
      </c>
      <c r="S14" s="392">
        <f t="shared" si="7"/>
        <v>0</v>
      </c>
      <c r="U14" s="392">
        <f t="shared" si="1"/>
        <v>0</v>
      </c>
      <c r="V14" s="392">
        <f t="shared" si="1"/>
        <v>0</v>
      </c>
      <c r="W14" s="392">
        <f t="shared" si="1"/>
        <v>444735.72</v>
      </c>
      <c r="X14" s="392">
        <f t="shared" si="1"/>
        <v>0</v>
      </c>
      <c r="Y14" s="392">
        <f t="shared" si="1"/>
        <v>0</v>
      </c>
      <c r="AA14" s="392">
        <f t="shared" si="2"/>
        <v>0</v>
      </c>
      <c r="AB14" s="392">
        <f t="shared" si="2"/>
        <v>0</v>
      </c>
      <c r="AC14" s="392">
        <f t="shared" si="2"/>
        <v>0</v>
      </c>
      <c r="AD14" s="392">
        <f t="shared" si="2"/>
        <v>0</v>
      </c>
      <c r="AE14" s="392">
        <f t="shared" si="2"/>
        <v>0</v>
      </c>
      <c r="AG14" s="409">
        <f t="shared" si="8"/>
        <v>0</v>
      </c>
      <c r="AH14" s="409">
        <f t="shared" si="8"/>
        <v>0</v>
      </c>
      <c r="AI14" s="409">
        <f t="shared" si="8"/>
        <v>1</v>
      </c>
      <c r="AJ14" s="409">
        <f t="shared" si="8"/>
        <v>0</v>
      </c>
      <c r="AK14" s="409">
        <f t="shared" si="8"/>
        <v>0</v>
      </c>
      <c r="AN14" s="391">
        <v>444735.72</v>
      </c>
      <c r="AO14" s="423">
        <f t="shared" si="4"/>
        <v>0</v>
      </c>
    </row>
    <row r="15" spans="1:41">
      <c r="A15" s="391" t="s">
        <v>554</v>
      </c>
      <c r="B15" s="408">
        <v>28610</v>
      </c>
      <c r="C15" s="391" t="s">
        <v>559</v>
      </c>
      <c r="D15" s="391" t="s">
        <v>560</v>
      </c>
      <c r="E15" s="391" t="s">
        <v>539</v>
      </c>
      <c r="F15" s="391" t="s">
        <v>540</v>
      </c>
      <c r="G15" s="391">
        <v>30</v>
      </c>
      <c r="H15" s="392">
        <v>425937.32</v>
      </c>
      <c r="I15" s="392">
        <v>425937.32</v>
      </c>
      <c r="J15" s="392">
        <v>0</v>
      </c>
      <c r="K15" s="391" t="s">
        <v>505</v>
      </c>
      <c r="L15" s="391" t="s">
        <v>505</v>
      </c>
      <c r="O15" s="392">
        <f t="shared" si="7"/>
        <v>0</v>
      </c>
      <c r="P15" s="392">
        <f t="shared" si="7"/>
        <v>0</v>
      </c>
      <c r="Q15" s="392">
        <f t="shared" si="7"/>
        <v>425937.32</v>
      </c>
      <c r="R15" s="392">
        <f t="shared" si="7"/>
        <v>0</v>
      </c>
      <c r="S15" s="392">
        <f t="shared" si="7"/>
        <v>0</v>
      </c>
      <c r="U15" s="392">
        <f t="shared" si="1"/>
        <v>0</v>
      </c>
      <c r="V15" s="392">
        <f t="shared" si="1"/>
        <v>0</v>
      </c>
      <c r="W15" s="392">
        <f t="shared" si="1"/>
        <v>425937.32</v>
      </c>
      <c r="X15" s="392">
        <f t="shared" si="1"/>
        <v>0</v>
      </c>
      <c r="Y15" s="392">
        <f t="shared" si="1"/>
        <v>0</v>
      </c>
      <c r="AA15" s="392">
        <f t="shared" si="2"/>
        <v>0</v>
      </c>
      <c r="AB15" s="392">
        <f t="shared" si="2"/>
        <v>0</v>
      </c>
      <c r="AC15" s="392">
        <f t="shared" si="2"/>
        <v>0</v>
      </c>
      <c r="AD15" s="392">
        <f t="shared" si="2"/>
        <v>0</v>
      </c>
      <c r="AE15" s="392">
        <f t="shared" si="2"/>
        <v>0</v>
      </c>
      <c r="AG15" s="409">
        <f t="shared" si="8"/>
        <v>0</v>
      </c>
      <c r="AH15" s="409">
        <f t="shared" si="8"/>
        <v>0</v>
      </c>
      <c r="AI15" s="409">
        <f t="shared" si="8"/>
        <v>1</v>
      </c>
      <c r="AJ15" s="409">
        <f t="shared" si="8"/>
        <v>0</v>
      </c>
      <c r="AK15" s="409">
        <f t="shared" si="8"/>
        <v>0</v>
      </c>
      <c r="AN15" s="391">
        <v>425937.32</v>
      </c>
      <c r="AO15" s="423">
        <f t="shared" si="4"/>
        <v>0</v>
      </c>
    </row>
    <row r="16" spans="1:41">
      <c r="A16" s="391" t="s">
        <v>554</v>
      </c>
      <c r="B16" s="408">
        <v>28975</v>
      </c>
      <c r="C16" s="391" t="s">
        <v>561</v>
      </c>
      <c r="D16" s="391" t="s">
        <v>562</v>
      </c>
      <c r="E16" s="391" t="s">
        <v>539</v>
      </c>
      <c r="F16" s="391" t="s">
        <v>540</v>
      </c>
      <c r="G16" s="391">
        <v>30</v>
      </c>
      <c r="H16" s="392">
        <v>256543.07</v>
      </c>
      <c r="I16" s="392">
        <v>256543.07</v>
      </c>
      <c r="J16" s="392">
        <v>0</v>
      </c>
      <c r="K16" s="391" t="s">
        <v>505</v>
      </c>
      <c r="L16" s="391" t="s">
        <v>505</v>
      </c>
      <c r="O16" s="392">
        <f t="shared" si="7"/>
        <v>0</v>
      </c>
      <c r="P16" s="392">
        <f t="shared" si="7"/>
        <v>0</v>
      </c>
      <c r="Q16" s="392">
        <f t="shared" si="7"/>
        <v>256543.07</v>
      </c>
      <c r="R16" s="392">
        <f t="shared" si="7"/>
        <v>0</v>
      </c>
      <c r="S16" s="392">
        <f t="shared" si="7"/>
        <v>0</v>
      </c>
      <c r="U16" s="392">
        <f t="shared" si="1"/>
        <v>0</v>
      </c>
      <c r="V16" s="392">
        <f t="shared" si="1"/>
        <v>0</v>
      </c>
      <c r="W16" s="392">
        <f t="shared" si="1"/>
        <v>256543.07</v>
      </c>
      <c r="X16" s="392">
        <f t="shared" si="1"/>
        <v>0</v>
      </c>
      <c r="Y16" s="392">
        <f t="shared" si="1"/>
        <v>0</v>
      </c>
      <c r="AA16" s="392">
        <f t="shared" si="2"/>
        <v>0</v>
      </c>
      <c r="AB16" s="392">
        <f t="shared" si="2"/>
        <v>0</v>
      </c>
      <c r="AC16" s="392">
        <f t="shared" si="2"/>
        <v>0</v>
      </c>
      <c r="AD16" s="392">
        <f t="shared" si="2"/>
        <v>0</v>
      </c>
      <c r="AE16" s="392">
        <f t="shared" si="2"/>
        <v>0</v>
      </c>
      <c r="AG16" s="409">
        <f t="shared" si="8"/>
        <v>0</v>
      </c>
      <c r="AH16" s="409">
        <f t="shared" si="8"/>
        <v>0</v>
      </c>
      <c r="AI16" s="409">
        <f t="shared" si="8"/>
        <v>1</v>
      </c>
      <c r="AJ16" s="409">
        <f t="shared" si="8"/>
        <v>0</v>
      </c>
      <c r="AK16" s="409">
        <f t="shared" si="8"/>
        <v>0</v>
      </c>
      <c r="AN16" s="391">
        <v>256543.07</v>
      </c>
      <c r="AO16" s="423">
        <f t="shared" si="4"/>
        <v>0</v>
      </c>
    </row>
    <row r="17" spans="1:41">
      <c r="A17" s="391" t="s">
        <v>551</v>
      </c>
      <c r="B17" s="408">
        <v>29341</v>
      </c>
      <c r="C17" s="391" t="s">
        <v>563</v>
      </c>
      <c r="D17" s="391" t="s">
        <v>564</v>
      </c>
      <c r="E17" s="391" t="s">
        <v>539</v>
      </c>
      <c r="F17" s="391" t="s">
        <v>540</v>
      </c>
      <c r="G17" s="391">
        <v>30</v>
      </c>
      <c r="H17" s="392">
        <v>530156.07999999996</v>
      </c>
      <c r="I17" s="392">
        <v>530156.07999999996</v>
      </c>
      <c r="J17" s="392">
        <v>0</v>
      </c>
      <c r="K17" s="391" t="s">
        <v>516</v>
      </c>
      <c r="L17" s="391" t="s">
        <v>516</v>
      </c>
      <c r="O17" s="392">
        <f>$H17*AG17</f>
        <v>0</v>
      </c>
      <c r="P17" s="392">
        <f t="shared" ref="P17:S17" si="9">$H17*AH17</f>
        <v>159046.82399999999</v>
      </c>
      <c r="Q17" s="392">
        <f t="shared" si="9"/>
        <v>371109.25599999994</v>
      </c>
      <c r="R17" s="392">
        <f t="shared" si="9"/>
        <v>0</v>
      </c>
      <c r="S17" s="392">
        <f t="shared" si="9"/>
        <v>0</v>
      </c>
      <c r="U17" s="392">
        <f t="shared" si="1"/>
        <v>0</v>
      </c>
      <c r="V17" s="392">
        <f t="shared" si="1"/>
        <v>159046.82399999999</v>
      </c>
      <c r="W17" s="392">
        <f t="shared" si="1"/>
        <v>371109.25599999994</v>
      </c>
      <c r="X17" s="392">
        <f t="shared" si="1"/>
        <v>0</v>
      </c>
      <c r="Y17" s="392">
        <f t="shared" si="1"/>
        <v>0</v>
      </c>
      <c r="AA17" s="392">
        <f t="shared" si="2"/>
        <v>0</v>
      </c>
      <c r="AB17" s="392">
        <f t="shared" si="2"/>
        <v>0</v>
      </c>
      <c r="AC17" s="392">
        <f t="shared" si="2"/>
        <v>0</v>
      </c>
      <c r="AD17" s="392">
        <f t="shared" si="2"/>
        <v>0</v>
      </c>
      <c r="AE17" s="392">
        <f t="shared" si="2"/>
        <v>0</v>
      </c>
      <c r="AG17" s="410">
        <v>0</v>
      </c>
      <c r="AH17" s="410">
        <v>0.3</v>
      </c>
      <c r="AI17" s="410">
        <f>1-AH17</f>
        <v>0.7</v>
      </c>
      <c r="AJ17" s="410">
        <v>0</v>
      </c>
      <c r="AK17" s="410">
        <v>0</v>
      </c>
      <c r="AN17" s="391">
        <v>530156.07999999996</v>
      </c>
      <c r="AO17" s="423">
        <f t="shared" si="4"/>
        <v>0</v>
      </c>
    </row>
    <row r="18" spans="1:41">
      <c r="A18" s="391" t="s">
        <v>554</v>
      </c>
      <c r="B18" s="408">
        <v>29341</v>
      </c>
      <c r="C18" s="391" t="s">
        <v>565</v>
      </c>
      <c r="D18" s="391" t="s">
        <v>566</v>
      </c>
      <c r="E18" s="391" t="s">
        <v>539</v>
      </c>
      <c r="F18" s="391" t="s">
        <v>540</v>
      </c>
      <c r="G18" s="391">
        <v>30</v>
      </c>
      <c r="H18" s="392">
        <v>202465.97</v>
      </c>
      <c r="I18" s="392">
        <v>202465.97</v>
      </c>
      <c r="J18" s="392">
        <v>0</v>
      </c>
      <c r="K18" s="391" t="s">
        <v>505</v>
      </c>
      <c r="L18" s="391" t="s">
        <v>505</v>
      </c>
      <c r="O18" s="392">
        <f t="shared" ref="O18:S26" si="10">IF(O$8=$K18,$H18,0)</f>
        <v>0</v>
      </c>
      <c r="P18" s="392">
        <f t="shared" si="10"/>
        <v>0</v>
      </c>
      <c r="Q18" s="392">
        <f t="shared" si="10"/>
        <v>202465.97</v>
      </c>
      <c r="R18" s="392">
        <f t="shared" si="10"/>
        <v>0</v>
      </c>
      <c r="S18" s="392">
        <f t="shared" si="10"/>
        <v>0</v>
      </c>
      <c r="U18" s="392">
        <f t="shared" si="1"/>
        <v>0</v>
      </c>
      <c r="V18" s="392">
        <f t="shared" si="1"/>
        <v>0</v>
      </c>
      <c r="W18" s="392">
        <f t="shared" si="1"/>
        <v>202465.97</v>
      </c>
      <c r="X18" s="392">
        <f t="shared" si="1"/>
        <v>0</v>
      </c>
      <c r="Y18" s="392">
        <f t="shared" si="1"/>
        <v>0</v>
      </c>
      <c r="AA18" s="392">
        <f t="shared" si="2"/>
        <v>0</v>
      </c>
      <c r="AB18" s="392">
        <f t="shared" si="2"/>
        <v>0</v>
      </c>
      <c r="AC18" s="392">
        <f t="shared" si="2"/>
        <v>0</v>
      </c>
      <c r="AD18" s="392">
        <f t="shared" si="2"/>
        <v>0</v>
      </c>
      <c r="AE18" s="392">
        <f t="shared" si="2"/>
        <v>0</v>
      </c>
      <c r="AG18" s="409">
        <f t="shared" ref="AG18:AK38" si="11">IF($H18=0,0,O18/$H18)</f>
        <v>0</v>
      </c>
      <c r="AH18" s="409">
        <f t="shared" si="11"/>
        <v>0</v>
      </c>
      <c r="AI18" s="409">
        <f t="shared" si="11"/>
        <v>1</v>
      </c>
      <c r="AJ18" s="409">
        <f t="shared" si="11"/>
        <v>0</v>
      </c>
      <c r="AK18" s="409">
        <f t="shared" si="11"/>
        <v>0</v>
      </c>
      <c r="AN18" s="391">
        <v>202465.97</v>
      </c>
      <c r="AO18" s="423">
        <f t="shared" si="4"/>
        <v>0</v>
      </c>
    </row>
    <row r="19" spans="1:41">
      <c r="A19" s="391" t="s">
        <v>567</v>
      </c>
      <c r="B19" s="408">
        <v>29706</v>
      </c>
      <c r="C19" s="391" t="s">
        <v>568</v>
      </c>
      <c r="D19" s="391" t="s">
        <v>569</v>
      </c>
      <c r="E19" s="391" t="s">
        <v>539</v>
      </c>
      <c r="F19" s="391" t="s">
        <v>540</v>
      </c>
      <c r="G19" s="391">
        <v>30</v>
      </c>
      <c r="H19" s="392">
        <v>16555.27</v>
      </c>
      <c r="I19" s="392">
        <v>16555.27</v>
      </c>
      <c r="J19" s="392">
        <v>0</v>
      </c>
      <c r="K19" s="391" t="s">
        <v>505</v>
      </c>
      <c r="L19" s="391" t="s">
        <v>505</v>
      </c>
      <c r="O19" s="392">
        <f t="shared" si="10"/>
        <v>0</v>
      </c>
      <c r="P19" s="392">
        <f t="shared" si="10"/>
        <v>0</v>
      </c>
      <c r="Q19" s="392">
        <f t="shared" si="10"/>
        <v>16555.27</v>
      </c>
      <c r="R19" s="392">
        <f t="shared" si="10"/>
        <v>0</v>
      </c>
      <c r="S19" s="392">
        <f t="shared" si="10"/>
        <v>0</v>
      </c>
      <c r="U19" s="392">
        <f t="shared" si="1"/>
        <v>0</v>
      </c>
      <c r="V19" s="392">
        <f t="shared" si="1"/>
        <v>0</v>
      </c>
      <c r="W19" s="392">
        <f t="shared" si="1"/>
        <v>16555.27</v>
      </c>
      <c r="X19" s="392">
        <f t="shared" si="1"/>
        <v>0</v>
      </c>
      <c r="Y19" s="392">
        <f t="shared" si="1"/>
        <v>0</v>
      </c>
      <c r="AA19" s="392">
        <f t="shared" si="2"/>
        <v>0</v>
      </c>
      <c r="AB19" s="392">
        <f t="shared" si="2"/>
        <v>0</v>
      </c>
      <c r="AC19" s="392">
        <f t="shared" si="2"/>
        <v>0</v>
      </c>
      <c r="AD19" s="392">
        <f t="shared" si="2"/>
        <v>0</v>
      </c>
      <c r="AE19" s="392">
        <f t="shared" si="2"/>
        <v>0</v>
      </c>
      <c r="AG19" s="409">
        <f t="shared" si="11"/>
        <v>0</v>
      </c>
      <c r="AH19" s="409">
        <f t="shared" si="11"/>
        <v>0</v>
      </c>
      <c r="AI19" s="409">
        <f t="shared" si="11"/>
        <v>1</v>
      </c>
      <c r="AJ19" s="409">
        <f t="shared" si="11"/>
        <v>0</v>
      </c>
      <c r="AK19" s="409">
        <f t="shared" si="11"/>
        <v>0</v>
      </c>
      <c r="AN19" s="391">
        <v>16555.27</v>
      </c>
      <c r="AO19" s="423">
        <f t="shared" si="4"/>
        <v>0</v>
      </c>
    </row>
    <row r="20" spans="1:41">
      <c r="A20" s="391" t="s">
        <v>554</v>
      </c>
      <c r="B20" s="408">
        <v>29706</v>
      </c>
      <c r="C20" s="391" t="s">
        <v>570</v>
      </c>
      <c r="D20" s="391" t="s">
        <v>571</v>
      </c>
      <c r="E20" s="391" t="s">
        <v>539</v>
      </c>
      <c r="F20" s="391" t="s">
        <v>540</v>
      </c>
      <c r="G20" s="391">
        <v>30</v>
      </c>
      <c r="H20" s="392">
        <v>243819.63</v>
      </c>
      <c r="I20" s="392">
        <v>243819.63</v>
      </c>
      <c r="J20" s="392">
        <v>0</v>
      </c>
      <c r="K20" s="391" t="s">
        <v>505</v>
      </c>
      <c r="L20" s="391" t="s">
        <v>505</v>
      </c>
      <c r="O20" s="392">
        <f t="shared" si="10"/>
        <v>0</v>
      </c>
      <c r="P20" s="392">
        <f t="shared" si="10"/>
        <v>0</v>
      </c>
      <c r="Q20" s="392">
        <f t="shared" si="10"/>
        <v>243819.63</v>
      </c>
      <c r="R20" s="392">
        <f t="shared" si="10"/>
        <v>0</v>
      </c>
      <c r="S20" s="392">
        <f t="shared" si="10"/>
        <v>0</v>
      </c>
      <c r="U20" s="392">
        <f t="shared" si="1"/>
        <v>0</v>
      </c>
      <c r="V20" s="392">
        <f t="shared" si="1"/>
        <v>0</v>
      </c>
      <c r="W20" s="392">
        <f t="shared" si="1"/>
        <v>243819.63</v>
      </c>
      <c r="X20" s="392">
        <f t="shared" si="1"/>
        <v>0</v>
      </c>
      <c r="Y20" s="392">
        <f t="shared" si="1"/>
        <v>0</v>
      </c>
      <c r="AA20" s="392">
        <f t="shared" si="2"/>
        <v>0</v>
      </c>
      <c r="AB20" s="392">
        <f t="shared" si="2"/>
        <v>0</v>
      </c>
      <c r="AC20" s="392">
        <f t="shared" si="2"/>
        <v>0</v>
      </c>
      <c r="AD20" s="392">
        <f t="shared" si="2"/>
        <v>0</v>
      </c>
      <c r="AE20" s="392">
        <f t="shared" si="2"/>
        <v>0</v>
      </c>
      <c r="AG20" s="409">
        <f t="shared" si="11"/>
        <v>0</v>
      </c>
      <c r="AH20" s="409">
        <f t="shared" si="11"/>
        <v>0</v>
      </c>
      <c r="AI20" s="409">
        <f t="shared" si="11"/>
        <v>1</v>
      </c>
      <c r="AJ20" s="409">
        <f t="shared" si="11"/>
        <v>0</v>
      </c>
      <c r="AK20" s="409">
        <f t="shared" si="11"/>
        <v>0</v>
      </c>
      <c r="AN20" s="391">
        <v>243819.63</v>
      </c>
      <c r="AO20" s="423">
        <f t="shared" si="4"/>
        <v>0</v>
      </c>
    </row>
    <row r="21" spans="1:41">
      <c r="A21" s="391" t="s">
        <v>572</v>
      </c>
      <c r="B21" s="408">
        <v>29706</v>
      </c>
      <c r="C21" s="391" t="s">
        <v>573</v>
      </c>
      <c r="D21" s="391" t="s">
        <v>574</v>
      </c>
      <c r="E21" s="391" t="s">
        <v>539</v>
      </c>
      <c r="F21" s="391" t="s">
        <v>540</v>
      </c>
      <c r="G21" s="391">
        <v>30</v>
      </c>
      <c r="H21" s="392">
        <v>120792.35</v>
      </c>
      <c r="I21" s="392">
        <v>120792.35</v>
      </c>
      <c r="J21" s="392">
        <v>0</v>
      </c>
      <c r="K21" s="391" t="s">
        <v>505</v>
      </c>
      <c r="L21" s="391" t="s">
        <v>505</v>
      </c>
      <c r="O21" s="392">
        <f t="shared" si="10"/>
        <v>0</v>
      </c>
      <c r="P21" s="392">
        <f t="shared" si="10"/>
        <v>0</v>
      </c>
      <c r="Q21" s="392">
        <f t="shared" si="10"/>
        <v>120792.35</v>
      </c>
      <c r="R21" s="392">
        <f t="shared" si="10"/>
        <v>0</v>
      </c>
      <c r="S21" s="392">
        <f t="shared" si="10"/>
        <v>0</v>
      </c>
      <c r="U21" s="392">
        <f t="shared" si="1"/>
        <v>0</v>
      </c>
      <c r="V21" s="392">
        <f t="shared" si="1"/>
        <v>0</v>
      </c>
      <c r="W21" s="392">
        <f t="shared" si="1"/>
        <v>120792.35</v>
      </c>
      <c r="X21" s="392">
        <f t="shared" si="1"/>
        <v>0</v>
      </c>
      <c r="Y21" s="392">
        <f t="shared" si="1"/>
        <v>0</v>
      </c>
      <c r="AA21" s="392">
        <f t="shared" si="2"/>
        <v>0</v>
      </c>
      <c r="AB21" s="392">
        <f t="shared" si="2"/>
        <v>0</v>
      </c>
      <c r="AC21" s="392">
        <f t="shared" si="2"/>
        <v>0</v>
      </c>
      <c r="AD21" s="392">
        <f t="shared" si="2"/>
        <v>0</v>
      </c>
      <c r="AE21" s="392">
        <f t="shared" si="2"/>
        <v>0</v>
      </c>
      <c r="AG21" s="409">
        <f t="shared" si="11"/>
        <v>0</v>
      </c>
      <c r="AH21" s="409">
        <f t="shared" si="11"/>
        <v>0</v>
      </c>
      <c r="AI21" s="409">
        <f t="shared" si="11"/>
        <v>1</v>
      </c>
      <c r="AJ21" s="409">
        <f t="shared" si="11"/>
        <v>0</v>
      </c>
      <c r="AK21" s="409">
        <f t="shared" si="11"/>
        <v>0</v>
      </c>
      <c r="AN21" s="391">
        <v>120792.35</v>
      </c>
      <c r="AO21" s="423">
        <f t="shared" si="4"/>
        <v>0</v>
      </c>
    </row>
    <row r="22" spans="1:41">
      <c r="A22" s="391" t="s">
        <v>567</v>
      </c>
      <c r="B22" s="408">
        <v>30071</v>
      </c>
      <c r="C22" s="391" t="s">
        <v>575</v>
      </c>
      <c r="D22" s="391" t="s">
        <v>576</v>
      </c>
      <c r="E22" s="391" t="s">
        <v>539</v>
      </c>
      <c r="F22" s="391" t="s">
        <v>540</v>
      </c>
      <c r="G22" s="391">
        <v>30</v>
      </c>
      <c r="H22" s="392">
        <v>6120.45</v>
      </c>
      <c r="I22" s="392">
        <v>6120.45</v>
      </c>
      <c r="J22" s="392">
        <v>0</v>
      </c>
      <c r="K22" s="391" t="s">
        <v>505</v>
      </c>
      <c r="L22" s="391" t="s">
        <v>505</v>
      </c>
      <c r="O22" s="392">
        <f t="shared" si="10"/>
        <v>0</v>
      </c>
      <c r="P22" s="392">
        <f t="shared" si="10"/>
        <v>0</v>
      </c>
      <c r="Q22" s="392">
        <f t="shared" si="10"/>
        <v>6120.45</v>
      </c>
      <c r="R22" s="392">
        <f t="shared" si="10"/>
        <v>0</v>
      </c>
      <c r="S22" s="392">
        <f t="shared" si="10"/>
        <v>0</v>
      </c>
      <c r="U22" s="392">
        <f t="shared" si="1"/>
        <v>0</v>
      </c>
      <c r="V22" s="392">
        <f t="shared" si="1"/>
        <v>0</v>
      </c>
      <c r="W22" s="392">
        <f t="shared" si="1"/>
        <v>6120.45</v>
      </c>
      <c r="X22" s="392">
        <f t="shared" si="1"/>
        <v>0</v>
      </c>
      <c r="Y22" s="392">
        <f t="shared" si="1"/>
        <v>0</v>
      </c>
      <c r="AA22" s="392">
        <f t="shared" si="2"/>
        <v>0</v>
      </c>
      <c r="AB22" s="392">
        <f t="shared" si="2"/>
        <v>0</v>
      </c>
      <c r="AC22" s="392">
        <f t="shared" si="2"/>
        <v>0</v>
      </c>
      <c r="AD22" s="392">
        <f t="shared" si="2"/>
        <v>0</v>
      </c>
      <c r="AE22" s="392">
        <f t="shared" si="2"/>
        <v>0</v>
      </c>
      <c r="AG22" s="409">
        <f t="shared" si="11"/>
        <v>0</v>
      </c>
      <c r="AH22" s="409">
        <f t="shared" si="11"/>
        <v>0</v>
      </c>
      <c r="AI22" s="409">
        <f t="shared" si="11"/>
        <v>1</v>
      </c>
      <c r="AJ22" s="409">
        <f t="shared" si="11"/>
        <v>0</v>
      </c>
      <c r="AK22" s="409">
        <f t="shared" si="11"/>
        <v>0</v>
      </c>
      <c r="AN22" s="391">
        <v>6120.45</v>
      </c>
      <c r="AO22" s="423">
        <f t="shared" si="4"/>
        <v>0</v>
      </c>
    </row>
    <row r="23" spans="1:41">
      <c r="A23" s="391" t="s">
        <v>554</v>
      </c>
      <c r="B23" s="408">
        <v>30071</v>
      </c>
      <c r="C23" s="391" t="s">
        <v>577</v>
      </c>
      <c r="D23" s="391" t="s">
        <v>578</v>
      </c>
      <c r="E23" s="391" t="s">
        <v>539</v>
      </c>
      <c r="F23" s="391" t="s">
        <v>540</v>
      </c>
      <c r="G23" s="391">
        <v>30</v>
      </c>
      <c r="H23" s="392">
        <v>204407.65</v>
      </c>
      <c r="I23" s="392">
        <v>204407.65</v>
      </c>
      <c r="J23" s="392">
        <v>0</v>
      </c>
      <c r="K23" s="391" t="s">
        <v>505</v>
      </c>
      <c r="L23" s="391" t="s">
        <v>505</v>
      </c>
      <c r="O23" s="392">
        <f t="shared" si="10"/>
        <v>0</v>
      </c>
      <c r="P23" s="392">
        <f t="shared" si="10"/>
        <v>0</v>
      </c>
      <c r="Q23" s="392">
        <f t="shared" si="10"/>
        <v>204407.65</v>
      </c>
      <c r="R23" s="392">
        <f t="shared" si="10"/>
        <v>0</v>
      </c>
      <c r="S23" s="392">
        <f t="shared" si="10"/>
        <v>0</v>
      </c>
      <c r="U23" s="392">
        <f t="shared" si="1"/>
        <v>0</v>
      </c>
      <c r="V23" s="392">
        <f t="shared" si="1"/>
        <v>0</v>
      </c>
      <c r="W23" s="392">
        <f t="shared" si="1"/>
        <v>204407.65</v>
      </c>
      <c r="X23" s="392">
        <f t="shared" si="1"/>
        <v>0</v>
      </c>
      <c r="Y23" s="392">
        <f t="shared" si="1"/>
        <v>0</v>
      </c>
      <c r="AA23" s="392">
        <f t="shared" si="2"/>
        <v>0</v>
      </c>
      <c r="AB23" s="392">
        <f t="shared" si="2"/>
        <v>0</v>
      </c>
      <c r="AC23" s="392">
        <f t="shared" si="2"/>
        <v>0</v>
      </c>
      <c r="AD23" s="392">
        <f t="shared" si="2"/>
        <v>0</v>
      </c>
      <c r="AE23" s="392">
        <f t="shared" si="2"/>
        <v>0</v>
      </c>
      <c r="AG23" s="409">
        <f t="shared" si="11"/>
        <v>0</v>
      </c>
      <c r="AH23" s="409">
        <f t="shared" si="11"/>
        <v>0</v>
      </c>
      <c r="AI23" s="409">
        <f t="shared" si="11"/>
        <v>1</v>
      </c>
      <c r="AJ23" s="409">
        <f t="shared" si="11"/>
        <v>0</v>
      </c>
      <c r="AK23" s="409">
        <f t="shared" si="11"/>
        <v>0</v>
      </c>
      <c r="AN23" s="391">
        <v>204407.65</v>
      </c>
      <c r="AO23" s="423">
        <f t="shared" si="4"/>
        <v>0</v>
      </c>
    </row>
    <row r="24" spans="1:41">
      <c r="A24" s="391" t="s">
        <v>572</v>
      </c>
      <c r="B24" s="408">
        <v>30071</v>
      </c>
      <c r="C24" s="391" t="s">
        <v>579</v>
      </c>
      <c r="D24" s="391" t="s">
        <v>580</v>
      </c>
      <c r="E24" s="391" t="s">
        <v>539</v>
      </c>
      <c r="F24" s="391" t="s">
        <v>540</v>
      </c>
      <c r="G24" s="391">
        <v>30</v>
      </c>
      <c r="H24" s="392">
        <v>67795.19</v>
      </c>
      <c r="I24" s="392">
        <v>67795.19</v>
      </c>
      <c r="J24" s="392">
        <v>0</v>
      </c>
      <c r="K24" s="391" t="s">
        <v>505</v>
      </c>
      <c r="L24" s="391" t="s">
        <v>505</v>
      </c>
      <c r="O24" s="392">
        <f t="shared" si="10"/>
        <v>0</v>
      </c>
      <c r="P24" s="392">
        <f t="shared" si="10"/>
        <v>0</v>
      </c>
      <c r="Q24" s="392">
        <f t="shared" si="10"/>
        <v>67795.19</v>
      </c>
      <c r="R24" s="392">
        <f t="shared" si="10"/>
        <v>0</v>
      </c>
      <c r="S24" s="392">
        <f t="shared" si="10"/>
        <v>0</v>
      </c>
      <c r="U24" s="392">
        <f t="shared" si="1"/>
        <v>0</v>
      </c>
      <c r="V24" s="392">
        <f t="shared" si="1"/>
        <v>0</v>
      </c>
      <c r="W24" s="392">
        <f t="shared" si="1"/>
        <v>67795.19</v>
      </c>
      <c r="X24" s="392">
        <f t="shared" si="1"/>
        <v>0</v>
      </c>
      <c r="Y24" s="392">
        <f t="shared" si="1"/>
        <v>0</v>
      </c>
      <c r="AA24" s="392">
        <f t="shared" si="2"/>
        <v>0</v>
      </c>
      <c r="AB24" s="392">
        <f t="shared" si="2"/>
        <v>0</v>
      </c>
      <c r="AC24" s="392">
        <f t="shared" si="2"/>
        <v>0</v>
      </c>
      <c r="AD24" s="392">
        <f t="shared" si="2"/>
        <v>0</v>
      </c>
      <c r="AE24" s="392">
        <f t="shared" si="2"/>
        <v>0</v>
      </c>
      <c r="AG24" s="409">
        <f t="shared" si="11"/>
        <v>0</v>
      </c>
      <c r="AH24" s="409">
        <f t="shared" si="11"/>
        <v>0</v>
      </c>
      <c r="AI24" s="409">
        <f t="shared" si="11"/>
        <v>1</v>
      </c>
      <c r="AJ24" s="409">
        <f t="shared" si="11"/>
        <v>0</v>
      </c>
      <c r="AK24" s="409">
        <f t="shared" si="11"/>
        <v>0</v>
      </c>
      <c r="AN24" s="391">
        <v>67795.19</v>
      </c>
      <c r="AO24" s="423">
        <f t="shared" si="4"/>
        <v>0</v>
      </c>
    </row>
    <row r="25" spans="1:41">
      <c r="A25" s="391" t="s">
        <v>567</v>
      </c>
      <c r="B25" s="408">
        <v>30436</v>
      </c>
      <c r="C25" s="391" t="s">
        <v>581</v>
      </c>
      <c r="D25" s="391" t="s">
        <v>582</v>
      </c>
      <c r="E25" s="391" t="s">
        <v>539</v>
      </c>
      <c r="F25" s="391" t="s">
        <v>540</v>
      </c>
      <c r="G25" s="391">
        <v>30</v>
      </c>
      <c r="H25" s="392">
        <v>5769.61</v>
      </c>
      <c r="I25" s="392">
        <v>5769.61</v>
      </c>
      <c r="J25" s="392">
        <v>0</v>
      </c>
      <c r="K25" s="391" t="s">
        <v>505</v>
      </c>
      <c r="L25" s="391" t="s">
        <v>505</v>
      </c>
      <c r="O25" s="392">
        <f t="shared" si="10"/>
        <v>0</v>
      </c>
      <c r="P25" s="392">
        <f t="shared" si="10"/>
        <v>0</v>
      </c>
      <c r="Q25" s="392">
        <f t="shared" si="10"/>
        <v>5769.61</v>
      </c>
      <c r="R25" s="392">
        <f t="shared" si="10"/>
        <v>0</v>
      </c>
      <c r="S25" s="392">
        <f t="shared" si="10"/>
        <v>0</v>
      </c>
      <c r="U25" s="392">
        <f t="shared" si="1"/>
        <v>0</v>
      </c>
      <c r="V25" s="392">
        <f t="shared" si="1"/>
        <v>0</v>
      </c>
      <c r="W25" s="392">
        <f t="shared" si="1"/>
        <v>5769.61</v>
      </c>
      <c r="X25" s="392">
        <f t="shared" si="1"/>
        <v>0</v>
      </c>
      <c r="Y25" s="392">
        <f t="shared" si="1"/>
        <v>0</v>
      </c>
      <c r="AA25" s="392">
        <f t="shared" si="2"/>
        <v>0</v>
      </c>
      <c r="AB25" s="392">
        <f t="shared" si="2"/>
        <v>0</v>
      </c>
      <c r="AC25" s="392">
        <f t="shared" si="2"/>
        <v>0</v>
      </c>
      <c r="AD25" s="392">
        <f t="shared" si="2"/>
        <v>0</v>
      </c>
      <c r="AE25" s="392">
        <f t="shared" si="2"/>
        <v>0</v>
      </c>
      <c r="AG25" s="409">
        <f t="shared" si="11"/>
        <v>0</v>
      </c>
      <c r="AH25" s="409">
        <f t="shared" si="11"/>
        <v>0</v>
      </c>
      <c r="AI25" s="409">
        <f t="shared" si="11"/>
        <v>1</v>
      </c>
      <c r="AJ25" s="409">
        <f t="shared" si="11"/>
        <v>0</v>
      </c>
      <c r="AK25" s="409">
        <f t="shared" si="11"/>
        <v>0</v>
      </c>
      <c r="AN25" s="391">
        <v>5769.61</v>
      </c>
      <c r="AO25" s="423">
        <f t="shared" si="4"/>
        <v>0</v>
      </c>
    </row>
    <row r="26" spans="1:41">
      <c r="A26" s="391" t="s">
        <v>554</v>
      </c>
      <c r="B26" s="408">
        <v>30436</v>
      </c>
      <c r="C26" s="391" t="s">
        <v>583</v>
      </c>
      <c r="D26" s="391" t="s">
        <v>584</v>
      </c>
      <c r="E26" s="391" t="s">
        <v>539</v>
      </c>
      <c r="F26" s="391" t="s">
        <v>540</v>
      </c>
      <c r="G26" s="391">
        <v>30</v>
      </c>
      <c r="H26" s="392">
        <v>158344.47</v>
      </c>
      <c r="I26" s="392">
        <v>158344.47</v>
      </c>
      <c r="J26" s="392">
        <v>0</v>
      </c>
      <c r="K26" s="391" t="s">
        <v>505</v>
      </c>
      <c r="L26" s="391" t="s">
        <v>505</v>
      </c>
      <c r="O26" s="392">
        <f t="shared" si="10"/>
        <v>0</v>
      </c>
      <c r="P26" s="392">
        <f t="shared" si="10"/>
        <v>0</v>
      </c>
      <c r="Q26" s="392">
        <f t="shared" si="10"/>
        <v>158344.47</v>
      </c>
      <c r="R26" s="392">
        <f t="shared" si="10"/>
        <v>0</v>
      </c>
      <c r="S26" s="392">
        <f t="shared" si="10"/>
        <v>0</v>
      </c>
      <c r="U26" s="392">
        <f t="shared" si="1"/>
        <v>0</v>
      </c>
      <c r="V26" s="392">
        <f t="shared" si="1"/>
        <v>0</v>
      </c>
      <c r="W26" s="392">
        <f t="shared" si="1"/>
        <v>158344.47</v>
      </c>
      <c r="X26" s="392">
        <f t="shared" si="1"/>
        <v>0</v>
      </c>
      <c r="Y26" s="392">
        <f t="shared" si="1"/>
        <v>0</v>
      </c>
      <c r="AA26" s="392">
        <f t="shared" si="2"/>
        <v>0</v>
      </c>
      <c r="AB26" s="392">
        <f t="shared" si="2"/>
        <v>0</v>
      </c>
      <c r="AC26" s="392">
        <f t="shared" si="2"/>
        <v>0</v>
      </c>
      <c r="AD26" s="392">
        <f t="shared" si="2"/>
        <v>0</v>
      </c>
      <c r="AE26" s="392">
        <f t="shared" si="2"/>
        <v>0</v>
      </c>
      <c r="AG26" s="409">
        <f t="shared" si="11"/>
        <v>0</v>
      </c>
      <c r="AH26" s="409">
        <f t="shared" si="11"/>
        <v>0</v>
      </c>
      <c r="AI26" s="409">
        <f t="shared" si="11"/>
        <v>1</v>
      </c>
      <c r="AJ26" s="409">
        <f t="shared" si="11"/>
        <v>0</v>
      </c>
      <c r="AK26" s="409">
        <f t="shared" si="11"/>
        <v>0</v>
      </c>
      <c r="AN26" s="391">
        <v>158344.47</v>
      </c>
      <c r="AO26" s="423">
        <f t="shared" si="4"/>
        <v>0</v>
      </c>
    </row>
    <row r="27" spans="1:41">
      <c r="A27" s="391" t="s">
        <v>585</v>
      </c>
      <c r="B27" s="408">
        <v>30436</v>
      </c>
      <c r="C27" s="391" t="s">
        <v>586</v>
      </c>
      <c r="D27" s="391" t="s">
        <v>587</v>
      </c>
      <c r="E27" s="391" t="s">
        <v>539</v>
      </c>
      <c r="F27" s="391" t="s">
        <v>540</v>
      </c>
      <c r="G27" s="391">
        <v>30</v>
      </c>
      <c r="H27" s="392">
        <v>29391.22</v>
      </c>
      <c r="I27" s="392">
        <v>29391.22</v>
      </c>
      <c r="J27" s="392">
        <v>0</v>
      </c>
      <c r="K27" s="391" t="s">
        <v>505</v>
      </c>
      <c r="L27" s="391" t="s">
        <v>505</v>
      </c>
      <c r="O27" s="392">
        <f t="shared" ref="O27:S38" si="12">IF(O$8=$K27,$H27,0)</f>
        <v>0</v>
      </c>
      <c r="P27" s="392">
        <f t="shared" si="12"/>
        <v>0</v>
      </c>
      <c r="Q27" s="392">
        <f t="shared" si="12"/>
        <v>29391.22</v>
      </c>
      <c r="R27" s="392">
        <f t="shared" si="12"/>
        <v>0</v>
      </c>
      <c r="S27" s="392">
        <f t="shared" si="12"/>
        <v>0</v>
      </c>
      <c r="U27" s="392">
        <f t="shared" si="1"/>
        <v>0</v>
      </c>
      <c r="V27" s="392">
        <f t="shared" si="1"/>
        <v>0</v>
      </c>
      <c r="W27" s="392">
        <f t="shared" si="1"/>
        <v>29391.22</v>
      </c>
      <c r="X27" s="392">
        <f t="shared" si="1"/>
        <v>0</v>
      </c>
      <c r="Y27" s="392">
        <f t="shared" si="1"/>
        <v>0</v>
      </c>
      <c r="AA27" s="392">
        <f t="shared" si="2"/>
        <v>0</v>
      </c>
      <c r="AB27" s="392">
        <f t="shared" si="2"/>
        <v>0</v>
      </c>
      <c r="AC27" s="392">
        <f t="shared" si="2"/>
        <v>0</v>
      </c>
      <c r="AD27" s="392">
        <f t="shared" si="2"/>
        <v>0</v>
      </c>
      <c r="AE27" s="392">
        <f t="shared" si="2"/>
        <v>0</v>
      </c>
      <c r="AG27" s="409">
        <f t="shared" si="11"/>
        <v>0</v>
      </c>
      <c r="AH27" s="409">
        <f t="shared" si="11"/>
        <v>0</v>
      </c>
      <c r="AI27" s="409">
        <f t="shared" si="11"/>
        <v>1</v>
      </c>
      <c r="AJ27" s="409">
        <f t="shared" si="11"/>
        <v>0</v>
      </c>
      <c r="AK27" s="409">
        <f t="shared" si="11"/>
        <v>0</v>
      </c>
      <c r="AN27" s="391">
        <v>29391.22</v>
      </c>
      <c r="AO27" s="423">
        <f t="shared" si="4"/>
        <v>0</v>
      </c>
    </row>
    <row r="28" spans="1:41">
      <c r="A28" s="391" t="s">
        <v>572</v>
      </c>
      <c r="B28" s="408">
        <v>30436</v>
      </c>
      <c r="C28" s="391" t="s">
        <v>588</v>
      </c>
      <c r="D28" s="391" t="s">
        <v>589</v>
      </c>
      <c r="E28" s="391" t="s">
        <v>539</v>
      </c>
      <c r="F28" s="391" t="s">
        <v>540</v>
      </c>
      <c r="G28" s="391">
        <v>30</v>
      </c>
      <c r="H28" s="392">
        <v>108198.41</v>
      </c>
      <c r="I28" s="392">
        <v>108198.41</v>
      </c>
      <c r="J28" s="392">
        <v>0</v>
      </c>
      <c r="K28" s="391" t="s">
        <v>505</v>
      </c>
      <c r="L28" s="391" t="s">
        <v>505</v>
      </c>
      <c r="O28" s="392">
        <f t="shared" si="12"/>
        <v>0</v>
      </c>
      <c r="P28" s="392">
        <f t="shared" si="12"/>
        <v>0</v>
      </c>
      <c r="Q28" s="392">
        <f t="shared" si="12"/>
        <v>108198.41</v>
      </c>
      <c r="R28" s="392">
        <f t="shared" si="12"/>
        <v>0</v>
      </c>
      <c r="S28" s="392">
        <f t="shared" si="12"/>
        <v>0</v>
      </c>
      <c r="U28" s="392">
        <f t="shared" si="1"/>
        <v>0</v>
      </c>
      <c r="V28" s="392">
        <f t="shared" si="1"/>
        <v>0</v>
      </c>
      <c r="W28" s="392">
        <f t="shared" si="1"/>
        <v>108198.41</v>
      </c>
      <c r="X28" s="392">
        <f t="shared" si="1"/>
        <v>0</v>
      </c>
      <c r="Y28" s="392">
        <f t="shared" si="1"/>
        <v>0</v>
      </c>
      <c r="AA28" s="392">
        <f t="shared" si="2"/>
        <v>0</v>
      </c>
      <c r="AB28" s="392">
        <f t="shared" si="2"/>
        <v>0</v>
      </c>
      <c r="AC28" s="392">
        <f t="shared" si="2"/>
        <v>0</v>
      </c>
      <c r="AD28" s="392">
        <f t="shared" si="2"/>
        <v>0</v>
      </c>
      <c r="AE28" s="392">
        <f t="shared" si="2"/>
        <v>0</v>
      </c>
      <c r="AG28" s="409">
        <f t="shared" si="11"/>
        <v>0</v>
      </c>
      <c r="AH28" s="409">
        <f t="shared" si="11"/>
        <v>0</v>
      </c>
      <c r="AI28" s="409">
        <f t="shared" si="11"/>
        <v>1</v>
      </c>
      <c r="AJ28" s="409">
        <f t="shared" si="11"/>
        <v>0</v>
      </c>
      <c r="AK28" s="409">
        <f t="shared" si="11"/>
        <v>0</v>
      </c>
      <c r="AN28" s="391">
        <v>108198.41</v>
      </c>
      <c r="AO28" s="423">
        <f t="shared" si="4"/>
        <v>0</v>
      </c>
    </row>
    <row r="29" spans="1:41">
      <c r="A29" s="391" t="s">
        <v>567</v>
      </c>
      <c r="B29" s="408">
        <v>30802</v>
      </c>
      <c r="C29" s="391" t="s">
        <v>590</v>
      </c>
      <c r="D29" s="391" t="s">
        <v>591</v>
      </c>
      <c r="E29" s="391" t="s">
        <v>539</v>
      </c>
      <c r="F29" s="391" t="s">
        <v>540</v>
      </c>
      <c r="G29" s="391">
        <v>30</v>
      </c>
      <c r="H29" s="392">
        <v>12411.29</v>
      </c>
      <c r="I29" s="392">
        <v>12411.29</v>
      </c>
      <c r="J29" s="392">
        <v>0</v>
      </c>
      <c r="K29" s="391" t="s">
        <v>505</v>
      </c>
      <c r="L29" s="391" t="s">
        <v>505</v>
      </c>
      <c r="O29" s="392">
        <f t="shared" si="12"/>
        <v>0</v>
      </c>
      <c r="P29" s="392">
        <f t="shared" si="12"/>
        <v>0</v>
      </c>
      <c r="Q29" s="392">
        <f t="shared" si="12"/>
        <v>12411.29</v>
      </c>
      <c r="R29" s="392">
        <f t="shared" si="12"/>
        <v>0</v>
      </c>
      <c r="S29" s="392">
        <f t="shared" si="12"/>
        <v>0</v>
      </c>
      <c r="U29" s="392">
        <f t="shared" si="1"/>
        <v>0</v>
      </c>
      <c r="V29" s="392">
        <f t="shared" si="1"/>
        <v>0</v>
      </c>
      <c r="W29" s="392">
        <f t="shared" si="1"/>
        <v>12411.29</v>
      </c>
      <c r="X29" s="392">
        <f t="shared" si="1"/>
        <v>0</v>
      </c>
      <c r="Y29" s="392">
        <f t="shared" si="1"/>
        <v>0</v>
      </c>
      <c r="AA29" s="392">
        <f t="shared" si="2"/>
        <v>0</v>
      </c>
      <c r="AB29" s="392">
        <f t="shared" si="2"/>
        <v>0</v>
      </c>
      <c r="AC29" s="392">
        <f t="shared" si="2"/>
        <v>0</v>
      </c>
      <c r="AD29" s="392">
        <f t="shared" si="2"/>
        <v>0</v>
      </c>
      <c r="AE29" s="392">
        <f t="shared" si="2"/>
        <v>0</v>
      </c>
      <c r="AG29" s="409">
        <f t="shared" si="11"/>
        <v>0</v>
      </c>
      <c r="AH29" s="409">
        <f t="shared" si="11"/>
        <v>0</v>
      </c>
      <c r="AI29" s="409">
        <f t="shared" si="11"/>
        <v>1</v>
      </c>
      <c r="AJ29" s="409">
        <f t="shared" si="11"/>
        <v>0</v>
      </c>
      <c r="AK29" s="409">
        <f t="shared" si="11"/>
        <v>0</v>
      </c>
      <c r="AN29" s="391">
        <v>12411.29</v>
      </c>
      <c r="AO29" s="423">
        <f t="shared" si="4"/>
        <v>0</v>
      </c>
    </row>
    <row r="30" spans="1:41">
      <c r="A30" s="391" t="s">
        <v>592</v>
      </c>
      <c r="B30" s="408">
        <v>30802</v>
      </c>
      <c r="C30" s="391" t="s">
        <v>593</v>
      </c>
      <c r="D30" s="391" t="s">
        <v>594</v>
      </c>
      <c r="E30" s="391" t="s">
        <v>539</v>
      </c>
      <c r="F30" s="391" t="s">
        <v>540</v>
      </c>
      <c r="G30" s="391">
        <v>30</v>
      </c>
      <c r="H30" s="392">
        <v>92104.78</v>
      </c>
      <c r="I30" s="392">
        <v>92104.78</v>
      </c>
      <c r="J30" s="392">
        <v>0</v>
      </c>
      <c r="K30" s="391" t="s">
        <v>505</v>
      </c>
      <c r="L30" s="391" t="s">
        <v>505</v>
      </c>
      <c r="O30" s="392">
        <f t="shared" si="12"/>
        <v>0</v>
      </c>
      <c r="P30" s="392">
        <f t="shared" si="12"/>
        <v>0</v>
      </c>
      <c r="Q30" s="392">
        <f t="shared" si="12"/>
        <v>92104.78</v>
      </c>
      <c r="R30" s="392">
        <f t="shared" si="12"/>
        <v>0</v>
      </c>
      <c r="S30" s="392">
        <f t="shared" si="12"/>
        <v>0</v>
      </c>
      <c r="U30" s="392">
        <f t="shared" si="1"/>
        <v>0</v>
      </c>
      <c r="V30" s="392">
        <f t="shared" si="1"/>
        <v>0</v>
      </c>
      <c r="W30" s="392">
        <f t="shared" si="1"/>
        <v>92104.78</v>
      </c>
      <c r="X30" s="392">
        <f t="shared" si="1"/>
        <v>0</v>
      </c>
      <c r="Y30" s="392">
        <f t="shared" si="1"/>
        <v>0</v>
      </c>
      <c r="AA30" s="392">
        <f t="shared" si="2"/>
        <v>0</v>
      </c>
      <c r="AB30" s="392">
        <f t="shared" si="2"/>
        <v>0</v>
      </c>
      <c r="AC30" s="392">
        <f t="shared" si="2"/>
        <v>0</v>
      </c>
      <c r="AD30" s="392">
        <f t="shared" si="2"/>
        <v>0</v>
      </c>
      <c r="AE30" s="392">
        <f t="shared" si="2"/>
        <v>0</v>
      </c>
      <c r="AG30" s="409">
        <f t="shared" si="11"/>
        <v>0</v>
      </c>
      <c r="AH30" s="409">
        <f t="shared" si="11"/>
        <v>0</v>
      </c>
      <c r="AI30" s="409">
        <f t="shared" si="11"/>
        <v>1</v>
      </c>
      <c r="AJ30" s="409">
        <f t="shared" si="11"/>
        <v>0</v>
      </c>
      <c r="AK30" s="409">
        <f t="shared" si="11"/>
        <v>0</v>
      </c>
      <c r="AN30" s="391">
        <v>92104.78</v>
      </c>
      <c r="AO30" s="423">
        <f t="shared" si="4"/>
        <v>0</v>
      </c>
    </row>
    <row r="31" spans="1:41">
      <c r="A31" s="391" t="s">
        <v>554</v>
      </c>
      <c r="B31" s="408">
        <v>30802</v>
      </c>
      <c r="C31" s="391" t="s">
        <v>595</v>
      </c>
      <c r="D31" s="391" t="s">
        <v>596</v>
      </c>
      <c r="E31" s="391" t="s">
        <v>539</v>
      </c>
      <c r="F31" s="391" t="s">
        <v>540</v>
      </c>
      <c r="G31" s="391">
        <v>30</v>
      </c>
      <c r="H31" s="392">
        <v>176780.77</v>
      </c>
      <c r="I31" s="392">
        <v>176780.77</v>
      </c>
      <c r="J31" s="392">
        <v>0</v>
      </c>
      <c r="K31" s="391" t="s">
        <v>505</v>
      </c>
      <c r="L31" s="391" t="s">
        <v>505</v>
      </c>
      <c r="O31" s="392">
        <f t="shared" si="12"/>
        <v>0</v>
      </c>
      <c r="P31" s="392">
        <f t="shared" si="12"/>
        <v>0</v>
      </c>
      <c r="Q31" s="392">
        <f t="shared" si="12"/>
        <v>176780.77</v>
      </c>
      <c r="R31" s="392">
        <f t="shared" si="12"/>
        <v>0</v>
      </c>
      <c r="S31" s="392">
        <f t="shared" si="12"/>
        <v>0</v>
      </c>
      <c r="U31" s="392">
        <f t="shared" si="1"/>
        <v>0</v>
      </c>
      <c r="V31" s="392">
        <f t="shared" si="1"/>
        <v>0</v>
      </c>
      <c r="W31" s="392">
        <f t="shared" si="1"/>
        <v>176780.77</v>
      </c>
      <c r="X31" s="392">
        <f t="shared" si="1"/>
        <v>0</v>
      </c>
      <c r="Y31" s="392">
        <f t="shared" si="1"/>
        <v>0</v>
      </c>
      <c r="AA31" s="392">
        <f t="shared" si="2"/>
        <v>0</v>
      </c>
      <c r="AB31" s="392">
        <f t="shared" si="2"/>
        <v>0</v>
      </c>
      <c r="AC31" s="392">
        <f t="shared" si="2"/>
        <v>0</v>
      </c>
      <c r="AD31" s="392">
        <f t="shared" si="2"/>
        <v>0</v>
      </c>
      <c r="AE31" s="392">
        <f t="shared" si="2"/>
        <v>0</v>
      </c>
      <c r="AG31" s="409">
        <f t="shared" si="11"/>
        <v>0</v>
      </c>
      <c r="AH31" s="409">
        <f t="shared" si="11"/>
        <v>0</v>
      </c>
      <c r="AI31" s="409">
        <f t="shared" si="11"/>
        <v>1</v>
      </c>
      <c r="AJ31" s="409">
        <f t="shared" si="11"/>
        <v>0</v>
      </c>
      <c r="AK31" s="409">
        <f t="shared" si="11"/>
        <v>0</v>
      </c>
      <c r="AN31" s="391">
        <v>176780.77</v>
      </c>
      <c r="AO31" s="423">
        <f t="shared" si="4"/>
        <v>0</v>
      </c>
    </row>
    <row r="32" spans="1:41">
      <c r="A32" s="391" t="s">
        <v>585</v>
      </c>
      <c r="B32" s="408">
        <v>30802</v>
      </c>
      <c r="C32" s="391" t="s">
        <v>597</v>
      </c>
      <c r="D32" s="391" t="s">
        <v>598</v>
      </c>
      <c r="E32" s="391" t="s">
        <v>539</v>
      </c>
      <c r="F32" s="391" t="s">
        <v>540</v>
      </c>
      <c r="G32" s="391">
        <v>30</v>
      </c>
      <c r="H32" s="392">
        <v>24306.080000000002</v>
      </c>
      <c r="I32" s="392">
        <v>24306.080000000002</v>
      </c>
      <c r="J32" s="392">
        <v>0</v>
      </c>
      <c r="K32" s="391" t="s">
        <v>505</v>
      </c>
      <c r="L32" s="391" t="s">
        <v>505</v>
      </c>
      <c r="O32" s="392">
        <f t="shared" si="12"/>
        <v>0</v>
      </c>
      <c r="P32" s="392">
        <f t="shared" si="12"/>
        <v>0</v>
      </c>
      <c r="Q32" s="392">
        <f t="shared" si="12"/>
        <v>24306.080000000002</v>
      </c>
      <c r="R32" s="392">
        <f t="shared" si="12"/>
        <v>0</v>
      </c>
      <c r="S32" s="392">
        <f t="shared" si="12"/>
        <v>0</v>
      </c>
      <c r="U32" s="392">
        <f t="shared" si="1"/>
        <v>0</v>
      </c>
      <c r="V32" s="392">
        <f t="shared" si="1"/>
        <v>0</v>
      </c>
      <c r="W32" s="392">
        <f t="shared" si="1"/>
        <v>24306.080000000002</v>
      </c>
      <c r="X32" s="392">
        <f t="shared" si="1"/>
        <v>0</v>
      </c>
      <c r="Y32" s="392">
        <f t="shared" si="1"/>
        <v>0</v>
      </c>
      <c r="AA32" s="392">
        <f t="shared" si="2"/>
        <v>0</v>
      </c>
      <c r="AB32" s="392">
        <f t="shared" si="2"/>
        <v>0</v>
      </c>
      <c r="AC32" s="392">
        <f t="shared" si="2"/>
        <v>0</v>
      </c>
      <c r="AD32" s="392">
        <f t="shared" si="2"/>
        <v>0</v>
      </c>
      <c r="AE32" s="392">
        <f t="shared" si="2"/>
        <v>0</v>
      </c>
      <c r="AG32" s="409">
        <f t="shared" si="11"/>
        <v>0</v>
      </c>
      <c r="AH32" s="409">
        <f t="shared" si="11"/>
        <v>0</v>
      </c>
      <c r="AI32" s="409">
        <f t="shared" si="11"/>
        <v>1</v>
      </c>
      <c r="AJ32" s="409">
        <f t="shared" si="11"/>
        <v>0</v>
      </c>
      <c r="AK32" s="409">
        <f t="shared" si="11"/>
        <v>0</v>
      </c>
      <c r="AN32" s="391">
        <v>24306.080000000002</v>
      </c>
      <c r="AO32" s="423">
        <f t="shared" si="4"/>
        <v>0</v>
      </c>
    </row>
    <row r="33" spans="1:41">
      <c r="A33" s="391" t="s">
        <v>572</v>
      </c>
      <c r="B33" s="408">
        <v>30802</v>
      </c>
      <c r="C33" s="391" t="s">
        <v>593</v>
      </c>
      <c r="D33" s="391" t="s">
        <v>599</v>
      </c>
      <c r="E33" s="391" t="s">
        <v>539</v>
      </c>
      <c r="F33" s="391" t="s">
        <v>540</v>
      </c>
      <c r="G33" s="391">
        <v>30</v>
      </c>
      <c r="H33" s="392">
        <v>50266.5</v>
      </c>
      <c r="I33" s="392">
        <v>50266.5</v>
      </c>
      <c r="J33" s="392">
        <v>0</v>
      </c>
      <c r="K33" s="391" t="s">
        <v>505</v>
      </c>
      <c r="L33" s="391" t="s">
        <v>505</v>
      </c>
      <c r="O33" s="392">
        <f t="shared" si="12"/>
        <v>0</v>
      </c>
      <c r="P33" s="392">
        <f t="shared" si="12"/>
        <v>0</v>
      </c>
      <c r="Q33" s="392">
        <f t="shared" si="12"/>
        <v>50266.5</v>
      </c>
      <c r="R33" s="392">
        <f t="shared" si="12"/>
        <v>0</v>
      </c>
      <c r="S33" s="392">
        <f t="shared" si="12"/>
        <v>0</v>
      </c>
      <c r="U33" s="392">
        <f t="shared" si="1"/>
        <v>0</v>
      </c>
      <c r="V33" s="392">
        <f t="shared" si="1"/>
        <v>0</v>
      </c>
      <c r="W33" s="392">
        <f t="shared" si="1"/>
        <v>50266.5</v>
      </c>
      <c r="X33" s="392">
        <f t="shared" si="1"/>
        <v>0</v>
      </c>
      <c r="Y33" s="392">
        <f t="shared" si="1"/>
        <v>0</v>
      </c>
      <c r="AA33" s="392">
        <f t="shared" si="2"/>
        <v>0</v>
      </c>
      <c r="AB33" s="392">
        <f t="shared" si="2"/>
        <v>0</v>
      </c>
      <c r="AC33" s="392">
        <f t="shared" si="2"/>
        <v>0</v>
      </c>
      <c r="AD33" s="392">
        <f t="shared" si="2"/>
        <v>0</v>
      </c>
      <c r="AE33" s="392">
        <f t="shared" si="2"/>
        <v>0</v>
      </c>
      <c r="AG33" s="409">
        <f t="shared" si="11"/>
        <v>0</v>
      </c>
      <c r="AH33" s="409">
        <f t="shared" si="11"/>
        <v>0</v>
      </c>
      <c r="AI33" s="409">
        <f t="shared" si="11"/>
        <v>1</v>
      </c>
      <c r="AJ33" s="409">
        <f t="shared" si="11"/>
        <v>0</v>
      </c>
      <c r="AK33" s="409">
        <f t="shared" si="11"/>
        <v>0</v>
      </c>
      <c r="AN33" s="391">
        <v>50266.5</v>
      </c>
      <c r="AO33" s="423">
        <f t="shared" si="4"/>
        <v>0</v>
      </c>
    </row>
    <row r="34" spans="1:41">
      <c r="A34" s="391" t="s">
        <v>567</v>
      </c>
      <c r="B34" s="408">
        <v>31167</v>
      </c>
      <c r="C34" s="391" t="s">
        <v>600</v>
      </c>
      <c r="D34" s="391" t="s">
        <v>601</v>
      </c>
      <c r="E34" s="391" t="s">
        <v>539</v>
      </c>
      <c r="F34" s="391" t="s">
        <v>540</v>
      </c>
      <c r="G34" s="391">
        <v>30</v>
      </c>
      <c r="H34" s="392">
        <v>25652.77</v>
      </c>
      <c r="I34" s="392">
        <v>25652.77</v>
      </c>
      <c r="J34" s="392">
        <v>0</v>
      </c>
      <c r="K34" s="391" t="s">
        <v>505</v>
      </c>
      <c r="L34" s="391" t="s">
        <v>505</v>
      </c>
      <c r="O34" s="392">
        <f t="shared" si="12"/>
        <v>0</v>
      </c>
      <c r="P34" s="392">
        <f t="shared" si="12"/>
        <v>0</v>
      </c>
      <c r="Q34" s="392">
        <f t="shared" si="12"/>
        <v>25652.77</v>
      </c>
      <c r="R34" s="392">
        <f t="shared" si="12"/>
        <v>0</v>
      </c>
      <c r="S34" s="392">
        <f t="shared" si="12"/>
        <v>0</v>
      </c>
      <c r="U34" s="392">
        <f t="shared" si="1"/>
        <v>0</v>
      </c>
      <c r="V34" s="392">
        <f t="shared" si="1"/>
        <v>0</v>
      </c>
      <c r="W34" s="392">
        <f t="shared" si="1"/>
        <v>25652.77</v>
      </c>
      <c r="X34" s="392">
        <f t="shared" si="1"/>
        <v>0</v>
      </c>
      <c r="Y34" s="392">
        <f t="shared" si="1"/>
        <v>0</v>
      </c>
      <c r="AA34" s="392">
        <f t="shared" si="2"/>
        <v>0</v>
      </c>
      <c r="AB34" s="392">
        <f t="shared" si="2"/>
        <v>0</v>
      </c>
      <c r="AC34" s="392">
        <f t="shared" si="2"/>
        <v>0</v>
      </c>
      <c r="AD34" s="392">
        <f t="shared" si="2"/>
        <v>0</v>
      </c>
      <c r="AE34" s="392">
        <f t="shared" si="2"/>
        <v>0</v>
      </c>
      <c r="AG34" s="409">
        <f t="shared" si="11"/>
        <v>0</v>
      </c>
      <c r="AH34" s="409">
        <f t="shared" si="11"/>
        <v>0</v>
      </c>
      <c r="AI34" s="409">
        <f t="shared" si="11"/>
        <v>1</v>
      </c>
      <c r="AJ34" s="409">
        <f t="shared" si="11"/>
        <v>0</v>
      </c>
      <c r="AK34" s="409">
        <f t="shared" si="11"/>
        <v>0</v>
      </c>
      <c r="AN34" s="391">
        <v>25652.77</v>
      </c>
      <c r="AO34" s="423">
        <f t="shared" si="4"/>
        <v>0</v>
      </c>
    </row>
    <row r="35" spans="1:41">
      <c r="A35" s="391" t="s">
        <v>592</v>
      </c>
      <c r="B35" s="408">
        <v>31167</v>
      </c>
      <c r="C35" s="391" t="s">
        <v>602</v>
      </c>
      <c r="D35" s="391" t="s">
        <v>603</v>
      </c>
      <c r="E35" s="391" t="s">
        <v>539</v>
      </c>
      <c r="F35" s="391" t="s">
        <v>540</v>
      </c>
      <c r="G35" s="391">
        <v>30</v>
      </c>
      <c r="H35" s="392">
        <v>101662.48</v>
      </c>
      <c r="I35" s="392">
        <v>101662.48</v>
      </c>
      <c r="J35" s="392">
        <v>0</v>
      </c>
      <c r="K35" s="391" t="s">
        <v>505</v>
      </c>
      <c r="L35" s="391" t="s">
        <v>505</v>
      </c>
      <c r="O35" s="392">
        <f t="shared" si="12"/>
        <v>0</v>
      </c>
      <c r="P35" s="392">
        <f t="shared" si="12"/>
        <v>0</v>
      </c>
      <c r="Q35" s="392">
        <f t="shared" si="12"/>
        <v>101662.48</v>
      </c>
      <c r="R35" s="392">
        <f t="shared" si="12"/>
        <v>0</v>
      </c>
      <c r="S35" s="392">
        <f t="shared" si="12"/>
        <v>0</v>
      </c>
      <c r="U35" s="392">
        <f t="shared" si="1"/>
        <v>0</v>
      </c>
      <c r="V35" s="392">
        <f t="shared" si="1"/>
        <v>0</v>
      </c>
      <c r="W35" s="392">
        <f t="shared" si="1"/>
        <v>101662.48</v>
      </c>
      <c r="X35" s="392">
        <f t="shared" si="1"/>
        <v>0</v>
      </c>
      <c r="Y35" s="392">
        <f t="shared" si="1"/>
        <v>0</v>
      </c>
      <c r="AA35" s="392">
        <f t="shared" si="2"/>
        <v>0</v>
      </c>
      <c r="AB35" s="392">
        <f t="shared" si="2"/>
        <v>0</v>
      </c>
      <c r="AC35" s="392">
        <f t="shared" si="2"/>
        <v>0</v>
      </c>
      <c r="AD35" s="392">
        <f t="shared" si="2"/>
        <v>0</v>
      </c>
      <c r="AE35" s="392">
        <f t="shared" si="2"/>
        <v>0</v>
      </c>
      <c r="AG35" s="409">
        <f t="shared" si="11"/>
        <v>0</v>
      </c>
      <c r="AH35" s="409">
        <f t="shared" si="11"/>
        <v>0</v>
      </c>
      <c r="AI35" s="409">
        <f t="shared" si="11"/>
        <v>1</v>
      </c>
      <c r="AJ35" s="409">
        <f t="shared" si="11"/>
        <v>0</v>
      </c>
      <c r="AK35" s="409">
        <f t="shared" si="11"/>
        <v>0</v>
      </c>
      <c r="AN35" s="391">
        <v>101662.48</v>
      </c>
      <c r="AO35" s="423">
        <f t="shared" si="4"/>
        <v>0</v>
      </c>
    </row>
    <row r="36" spans="1:41">
      <c r="A36" s="391" t="s">
        <v>554</v>
      </c>
      <c r="B36" s="408">
        <v>31167</v>
      </c>
      <c r="C36" s="391" t="s">
        <v>604</v>
      </c>
      <c r="D36" s="391" t="s">
        <v>605</v>
      </c>
      <c r="E36" s="391" t="s">
        <v>539</v>
      </c>
      <c r="F36" s="391" t="s">
        <v>540</v>
      </c>
      <c r="G36" s="391">
        <v>30</v>
      </c>
      <c r="H36" s="392">
        <v>206611.52</v>
      </c>
      <c r="I36" s="392">
        <v>206611.52</v>
      </c>
      <c r="J36" s="392">
        <v>0</v>
      </c>
      <c r="K36" s="391" t="s">
        <v>505</v>
      </c>
      <c r="L36" s="391" t="s">
        <v>505</v>
      </c>
      <c r="O36" s="392">
        <f t="shared" si="12"/>
        <v>0</v>
      </c>
      <c r="P36" s="392">
        <f t="shared" si="12"/>
        <v>0</v>
      </c>
      <c r="Q36" s="392">
        <f t="shared" si="12"/>
        <v>206611.52</v>
      </c>
      <c r="R36" s="392">
        <f t="shared" si="12"/>
        <v>0</v>
      </c>
      <c r="S36" s="392">
        <f t="shared" si="12"/>
        <v>0</v>
      </c>
      <c r="U36" s="392">
        <f t="shared" si="1"/>
        <v>0</v>
      </c>
      <c r="V36" s="392">
        <f t="shared" si="1"/>
        <v>0</v>
      </c>
      <c r="W36" s="392">
        <f t="shared" si="1"/>
        <v>206611.52</v>
      </c>
      <c r="X36" s="392">
        <f t="shared" si="1"/>
        <v>0</v>
      </c>
      <c r="Y36" s="392">
        <f t="shared" si="1"/>
        <v>0</v>
      </c>
      <c r="AA36" s="392">
        <f t="shared" si="2"/>
        <v>0</v>
      </c>
      <c r="AB36" s="392">
        <f t="shared" si="2"/>
        <v>0</v>
      </c>
      <c r="AC36" s="392">
        <f t="shared" si="2"/>
        <v>0</v>
      </c>
      <c r="AD36" s="392">
        <f t="shared" si="2"/>
        <v>0</v>
      </c>
      <c r="AE36" s="392">
        <f t="shared" si="2"/>
        <v>0</v>
      </c>
      <c r="AG36" s="409">
        <f t="shared" si="11"/>
        <v>0</v>
      </c>
      <c r="AH36" s="409">
        <f t="shared" si="11"/>
        <v>0</v>
      </c>
      <c r="AI36" s="409">
        <f t="shared" si="11"/>
        <v>1</v>
      </c>
      <c r="AJ36" s="409">
        <f t="shared" si="11"/>
        <v>0</v>
      </c>
      <c r="AK36" s="409">
        <f t="shared" si="11"/>
        <v>0</v>
      </c>
      <c r="AN36" s="391">
        <v>206611.52</v>
      </c>
      <c r="AO36" s="423">
        <f t="shared" si="4"/>
        <v>0</v>
      </c>
    </row>
    <row r="37" spans="1:41">
      <c r="A37" s="391" t="s">
        <v>585</v>
      </c>
      <c r="B37" s="408">
        <v>31167</v>
      </c>
      <c r="C37" s="391" t="s">
        <v>606</v>
      </c>
      <c r="D37" s="391" t="s">
        <v>607</v>
      </c>
      <c r="E37" s="391" t="s">
        <v>539</v>
      </c>
      <c r="F37" s="391" t="s">
        <v>540</v>
      </c>
      <c r="G37" s="391">
        <v>30</v>
      </c>
      <c r="H37" s="392">
        <v>11685.18</v>
      </c>
      <c r="I37" s="392">
        <v>11685.18</v>
      </c>
      <c r="J37" s="392">
        <v>0</v>
      </c>
      <c r="K37" s="391" t="s">
        <v>505</v>
      </c>
      <c r="L37" s="391" t="s">
        <v>505</v>
      </c>
      <c r="O37" s="392">
        <f t="shared" si="12"/>
        <v>0</v>
      </c>
      <c r="P37" s="392">
        <f t="shared" si="12"/>
        <v>0</v>
      </c>
      <c r="Q37" s="392">
        <f t="shared" si="12"/>
        <v>11685.18</v>
      </c>
      <c r="R37" s="392">
        <f t="shared" si="12"/>
        <v>0</v>
      </c>
      <c r="S37" s="392">
        <f t="shared" si="12"/>
        <v>0</v>
      </c>
      <c r="U37" s="392">
        <f t="shared" si="1"/>
        <v>0</v>
      </c>
      <c r="V37" s="392">
        <f t="shared" si="1"/>
        <v>0</v>
      </c>
      <c r="W37" s="392">
        <f t="shared" si="1"/>
        <v>11685.18</v>
      </c>
      <c r="X37" s="392">
        <f t="shared" si="1"/>
        <v>0</v>
      </c>
      <c r="Y37" s="392">
        <f t="shared" si="1"/>
        <v>0</v>
      </c>
      <c r="AA37" s="392">
        <f t="shared" si="2"/>
        <v>0</v>
      </c>
      <c r="AB37" s="392">
        <f t="shared" si="2"/>
        <v>0</v>
      </c>
      <c r="AC37" s="392">
        <f t="shared" si="2"/>
        <v>0</v>
      </c>
      <c r="AD37" s="392">
        <f t="shared" si="2"/>
        <v>0</v>
      </c>
      <c r="AE37" s="392">
        <f t="shared" si="2"/>
        <v>0</v>
      </c>
      <c r="AG37" s="409">
        <f t="shared" si="11"/>
        <v>0</v>
      </c>
      <c r="AH37" s="409">
        <f t="shared" si="11"/>
        <v>0</v>
      </c>
      <c r="AI37" s="409">
        <f t="shared" si="11"/>
        <v>1</v>
      </c>
      <c r="AJ37" s="409">
        <f t="shared" si="11"/>
        <v>0</v>
      </c>
      <c r="AK37" s="409">
        <f t="shared" si="11"/>
        <v>0</v>
      </c>
      <c r="AN37" s="391">
        <v>11685.18</v>
      </c>
      <c r="AO37" s="423">
        <f t="shared" si="4"/>
        <v>0</v>
      </c>
    </row>
    <row r="38" spans="1:41">
      <c r="A38" s="391" t="s">
        <v>572</v>
      </c>
      <c r="B38" s="408">
        <v>31167</v>
      </c>
      <c r="C38" s="391" t="s">
        <v>602</v>
      </c>
      <c r="D38" s="391" t="s">
        <v>608</v>
      </c>
      <c r="E38" s="391" t="s">
        <v>539</v>
      </c>
      <c r="F38" s="391" t="s">
        <v>540</v>
      </c>
      <c r="G38" s="391">
        <v>30</v>
      </c>
      <c r="H38" s="392">
        <v>11311.52</v>
      </c>
      <c r="I38" s="392">
        <v>11311.52</v>
      </c>
      <c r="J38" s="392">
        <v>0</v>
      </c>
      <c r="K38" s="391" t="s">
        <v>505</v>
      </c>
      <c r="L38" s="391" t="s">
        <v>505</v>
      </c>
      <c r="O38" s="392">
        <f t="shared" si="12"/>
        <v>0</v>
      </c>
      <c r="P38" s="392">
        <f t="shared" si="12"/>
        <v>0</v>
      </c>
      <c r="Q38" s="392">
        <f t="shared" si="12"/>
        <v>11311.52</v>
      </c>
      <c r="R38" s="392">
        <f t="shared" si="12"/>
        <v>0</v>
      </c>
      <c r="S38" s="392">
        <f t="shared" si="12"/>
        <v>0</v>
      </c>
      <c r="U38" s="392">
        <f t="shared" si="1"/>
        <v>0</v>
      </c>
      <c r="V38" s="392">
        <f t="shared" si="1"/>
        <v>0</v>
      </c>
      <c r="W38" s="392">
        <f t="shared" si="1"/>
        <v>11311.52</v>
      </c>
      <c r="X38" s="392">
        <f t="shared" si="1"/>
        <v>0</v>
      </c>
      <c r="Y38" s="392">
        <f t="shared" si="1"/>
        <v>0</v>
      </c>
      <c r="AA38" s="392">
        <f t="shared" si="2"/>
        <v>0</v>
      </c>
      <c r="AB38" s="392">
        <f t="shared" si="2"/>
        <v>0</v>
      </c>
      <c r="AC38" s="392">
        <f t="shared" si="2"/>
        <v>0</v>
      </c>
      <c r="AD38" s="392">
        <f t="shared" si="2"/>
        <v>0</v>
      </c>
      <c r="AE38" s="392">
        <f t="shared" si="2"/>
        <v>0</v>
      </c>
      <c r="AG38" s="409">
        <f t="shared" si="11"/>
        <v>0</v>
      </c>
      <c r="AH38" s="409">
        <f t="shared" si="11"/>
        <v>0</v>
      </c>
      <c r="AI38" s="409">
        <f t="shared" si="11"/>
        <v>1</v>
      </c>
      <c r="AJ38" s="409">
        <f t="shared" si="11"/>
        <v>0</v>
      </c>
      <c r="AK38" s="409">
        <f t="shared" si="11"/>
        <v>0</v>
      </c>
      <c r="AN38" s="391">
        <v>11311.52</v>
      </c>
      <c r="AO38" s="423">
        <f t="shared" si="4"/>
        <v>0</v>
      </c>
    </row>
    <row r="39" spans="1:41">
      <c r="A39" s="391" t="s">
        <v>609</v>
      </c>
      <c r="B39" s="408">
        <v>31167</v>
      </c>
      <c r="C39" s="391" t="s">
        <v>610</v>
      </c>
      <c r="D39" s="391" t="s">
        <v>611</v>
      </c>
      <c r="E39" s="391" t="s">
        <v>539</v>
      </c>
      <c r="F39" s="391" t="s">
        <v>540</v>
      </c>
      <c r="G39" s="391">
        <v>30</v>
      </c>
      <c r="H39" s="392">
        <v>3024139.93</v>
      </c>
      <c r="I39" s="392">
        <v>3024139.93</v>
      </c>
      <c r="J39" s="392">
        <v>0</v>
      </c>
      <c r="K39" s="391" t="s">
        <v>516</v>
      </c>
      <c r="L39" s="391" t="s">
        <v>516</v>
      </c>
      <c r="M39" s="391" t="s">
        <v>612</v>
      </c>
      <c r="O39" s="392">
        <f>$H39*AG39</f>
        <v>0</v>
      </c>
      <c r="P39" s="392">
        <f t="shared" ref="P39:S39" si="13">$H39*AH39</f>
        <v>907241.97900000005</v>
      </c>
      <c r="Q39" s="392">
        <f t="shared" si="13"/>
        <v>2116897.9509999999</v>
      </c>
      <c r="R39" s="392">
        <f t="shared" si="13"/>
        <v>0</v>
      </c>
      <c r="S39" s="392">
        <f t="shared" si="13"/>
        <v>0</v>
      </c>
      <c r="U39" s="392">
        <f t="shared" si="1"/>
        <v>0</v>
      </c>
      <c r="V39" s="392">
        <f t="shared" si="1"/>
        <v>907241.97900000005</v>
      </c>
      <c r="W39" s="392">
        <f t="shared" si="1"/>
        <v>2116897.9509999999</v>
      </c>
      <c r="X39" s="392">
        <f t="shared" si="1"/>
        <v>0</v>
      </c>
      <c r="Y39" s="392">
        <f t="shared" si="1"/>
        <v>0</v>
      </c>
      <c r="AA39" s="392">
        <f t="shared" si="2"/>
        <v>0</v>
      </c>
      <c r="AB39" s="392">
        <f t="shared" si="2"/>
        <v>0</v>
      </c>
      <c r="AC39" s="392">
        <f t="shared" si="2"/>
        <v>0</v>
      </c>
      <c r="AD39" s="392">
        <f t="shared" si="2"/>
        <v>0</v>
      </c>
      <c r="AE39" s="392">
        <f t="shared" si="2"/>
        <v>0</v>
      </c>
      <c r="AG39" s="410">
        <v>0</v>
      </c>
      <c r="AH39" s="410">
        <v>0.3</v>
      </c>
      <c r="AI39" s="410">
        <f>1-AH39</f>
        <v>0.7</v>
      </c>
      <c r="AJ39" s="410">
        <v>0</v>
      </c>
      <c r="AK39" s="410">
        <v>0</v>
      </c>
      <c r="AN39" s="391">
        <v>3024139.93</v>
      </c>
      <c r="AO39" s="423">
        <f t="shared" si="4"/>
        <v>0</v>
      </c>
    </row>
    <row r="40" spans="1:41">
      <c r="A40" s="391" t="s">
        <v>567</v>
      </c>
      <c r="B40" s="408">
        <v>31532</v>
      </c>
      <c r="C40" s="391" t="s">
        <v>613</v>
      </c>
      <c r="D40" s="391" t="s">
        <v>614</v>
      </c>
      <c r="E40" s="391" t="s">
        <v>539</v>
      </c>
      <c r="F40" s="391" t="s">
        <v>540</v>
      </c>
      <c r="G40" s="391">
        <v>30</v>
      </c>
      <c r="H40" s="392">
        <v>26100.400000000001</v>
      </c>
      <c r="I40" s="392">
        <v>26078.1</v>
      </c>
      <c r="J40" s="392">
        <v>870.01</v>
      </c>
      <c r="K40" s="391" t="s">
        <v>505</v>
      </c>
      <c r="L40" s="391" t="s">
        <v>505</v>
      </c>
      <c r="O40" s="392">
        <f t="shared" ref="O40:S47" si="14">IF(O$8=$K40,$H40,0)</f>
        <v>0</v>
      </c>
      <c r="P40" s="392">
        <f t="shared" si="14"/>
        <v>0</v>
      </c>
      <c r="Q40" s="392">
        <f t="shared" si="14"/>
        <v>26100.400000000001</v>
      </c>
      <c r="R40" s="392">
        <f t="shared" si="14"/>
        <v>0</v>
      </c>
      <c r="S40" s="392">
        <f t="shared" si="14"/>
        <v>0</v>
      </c>
      <c r="U40" s="392">
        <f t="shared" si="1"/>
        <v>0</v>
      </c>
      <c r="V40" s="392">
        <f t="shared" si="1"/>
        <v>0</v>
      </c>
      <c r="W40" s="392">
        <f t="shared" si="1"/>
        <v>26078.1</v>
      </c>
      <c r="X40" s="392">
        <f t="shared" si="1"/>
        <v>0</v>
      </c>
      <c r="Y40" s="392">
        <f t="shared" si="1"/>
        <v>0</v>
      </c>
      <c r="AA40" s="392">
        <f t="shared" si="2"/>
        <v>0</v>
      </c>
      <c r="AB40" s="392">
        <f t="shared" si="2"/>
        <v>0</v>
      </c>
      <c r="AC40" s="392">
        <f t="shared" si="2"/>
        <v>870.01</v>
      </c>
      <c r="AD40" s="392">
        <f t="shared" si="2"/>
        <v>0</v>
      </c>
      <c r="AE40" s="392">
        <f t="shared" si="2"/>
        <v>0</v>
      </c>
      <c r="AG40" s="409">
        <f t="shared" ref="AG40:AK66" si="15">IF($H40=0,0,O40/$H40)</f>
        <v>0</v>
      </c>
      <c r="AH40" s="409">
        <f t="shared" si="15"/>
        <v>0</v>
      </c>
      <c r="AI40" s="409">
        <f t="shared" si="15"/>
        <v>1</v>
      </c>
      <c r="AJ40" s="409">
        <f t="shared" si="15"/>
        <v>0</v>
      </c>
      <c r="AK40" s="409">
        <f t="shared" si="15"/>
        <v>0</v>
      </c>
      <c r="AN40" s="391">
        <v>26100.400000000001</v>
      </c>
      <c r="AO40" s="423">
        <f t="shared" si="4"/>
        <v>0</v>
      </c>
    </row>
    <row r="41" spans="1:41">
      <c r="A41" s="391" t="s">
        <v>567</v>
      </c>
      <c r="B41" s="408">
        <v>31532</v>
      </c>
      <c r="C41" s="391" t="s">
        <v>613</v>
      </c>
      <c r="D41" s="391" t="s">
        <v>615</v>
      </c>
      <c r="E41" s="391" t="s">
        <v>539</v>
      </c>
      <c r="F41" s="391" t="s">
        <v>540</v>
      </c>
      <c r="G41" s="391">
        <v>30</v>
      </c>
      <c r="H41" s="392">
        <v>44330.85</v>
      </c>
      <c r="I41" s="392">
        <v>44292.079999999994</v>
      </c>
      <c r="J41" s="392">
        <v>1477.7</v>
      </c>
      <c r="K41" s="391" t="s">
        <v>505</v>
      </c>
      <c r="L41" s="391" t="s">
        <v>505</v>
      </c>
      <c r="O41" s="392">
        <f t="shared" si="14"/>
        <v>0</v>
      </c>
      <c r="P41" s="392">
        <f t="shared" si="14"/>
        <v>0</v>
      </c>
      <c r="Q41" s="392">
        <f t="shared" si="14"/>
        <v>44330.85</v>
      </c>
      <c r="R41" s="392">
        <f t="shared" si="14"/>
        <v>0</v>
      </c>
      <c r="S41" s="392">
        <f t="shared" si="14"/>
        <v>0</v>
      </c>
      <c r="U41" s="392">
        <f t="shared" si="1"/>
        <v>0</v>
      </c>
      <c r="V41" s="392">
        <f t="shared" si="1"/>
        <v>0</v>
      </c>
      <c r="W41" s="392">
        <f t="shared" si="1"/>
        <v>44292.079999999994</v>
      </c>
      <c r="X41" s="392">
        <f t="shared" si="1"/>
        <v>0</v>
      </c>
      <c r="Y41" s="392">
        <f t="shared" si="1"/>
        <v>0</v>
      </c>
      <c r="AA41" s="392">
        <f t="shared" si="2"/>
        <v>0</v>
      </c>
      <c r="AB41" s="392">
        <f t="shared" si="2"/>
        <v>0</v>
      </c>
      <c r="AC41" s="392">
        <f t="shared" si="2"/>
        <v>1477.7</v>
      </c>
      <c r="AD41" s="392">
        <f t="shared" si="2"/>
        <v>0</v>
      </c>
      <c r="AE41" s="392">
        <f t="shared" si="2"/>
        <v>0</v>
      </c>
      <c r="AG41" s="409">
        <f t="shared" si="15"/>
        <v>0</v>
      </c>
      <c r="AH41" s="409">
        <f t="shared" si="15"/>
        <v>0</v>
      </c>
      <c r="AI41" s="409">
        <f t="shared" si="15"/>
        <v>1</v>
      </c>
      <c r="AJ41" s="409">
        <f t="shared" si="15"/>
        <v>0</v>
      </c>
      <c r="AK41" s="409">
        <f t="shared" si="15"/>
        <v>0</v>
      </c>
      <c r="AN41" s="391">
        <v>44330.85</v>
      </c>
      <c r="AO41" s="423">
        <f t="shared" si="4"/>
        <v>0</v>
      </c>
    </row>
    <row r="42" spans="1:41">
      <c r="A42" s="391" t="s">
        <v>616</v>
      </c>
      <c r="B42" s="408">
        <v>31532</v>
      </c>
      <c r="C42" s="391" t="s">
        <v>617</v>
      </c>
      <c r="D42" s="391" t="s">
        <v>618</v>
      </c>
      <c r="E42" s="391" t="s">
        <v>539</v>
      </c>
      <c r="F42" s="391" t="s">
        <v>540</v>
      </c>
      <c r="G42" s="391">
        <v>25</v>
      </c>
      <c r="H42" s="392">
        <v>41613.18</v>
      </c>
      <c r="I42" s="392">
        <v>41613.18</v>
      </c>
      <c r="J42" s="392">
        <v>0</v>
      </c>
      <c r="K42" s="391" t="s">
        <v>505</v>
      </c>
      <c r="L42" s="391" t="s">
        <v>505</v>
      </c>
      <c r="O42" s="392">
        <f t="shared" si="14"/>
        <v>0</v>
      </c>
      <c r="P42" s="392">
        <f t="shared" si="14"/>
        <v>0</v>
      </c>
      <c r="Q42" s="392">
        <f t="shared" si="14"/>
        <v>41613.18</v>
      </c>
      <c r="R42" s="392">
        <f t="shared" si="14"/>
        <v>0</v>
      </c>
      <c r="S42" s="392">
        <f t="shared" si="14"/>
        <v>0</v>
      </c>
      <c r="U42" s="392">
        <f t="shared" si="1"/>
        <v>0</v>
      </c>
      <c r="V42" s="392">
        <f t="shared" si="1"/>
        <v>0</v>
      </c>
      <c r="W42" s="392">
        <f t="shared" si="1"/>
        <v>41613.18</v>
      </c>
      <c r="X42" s="392">
        <f t="shared" si="1"/>
        <v>0</v>
      </c>
      <c r="Y42" s="392">
        <f t="shared" si="1"/>
        <v>0</v>
      </c>
      <c r="AA42" s="392">
        <f t="shared" si="2"/>
        <v>0</v>
      </c>
      <c r="AB42" s="392">
        <f t="shared" si="2"/>
        <v>0</v>
      </c>
      <c r="AC42" s="392">
        <f t="shared" si="2"/>
        <v>0</v>
      </c>
      <c r="AD42" s="392">
        <f t="shared" si="2"/>
        <v>0</v>
      </c>
      <c r="AE42" s="392">
        <f t="shared" si="2"/>
        <v>0</v>
      </c>
      <c r="AG42" s="409">
        <f t="shared" si="15"/>
        <v>0</v>
      </c>
      <c r="AH42" s="409">
        <f t="shared" si="15"/>
        <v>0</v>
      </c>
      <c r="AI42" s="409">
        <f t="shared" si="15"/>
        <v>1</v>
      </c>
      <c r="AJ42" s="409">
        <f t="shared" si="15"/>
        <v>0</v>
      </c>
      <c r="AK42" s="409">
        <f t="shared" si="15"/>
        <v>0</v>
      </c>
      <c r="AN42" s="391">
        <v>41613.18</v>
      </c>
      <c r="AO42" s="423">
        <f t="shared" si="4"/>
        <v>0</v>
      </c>
    </row>
    <row r="43" spans="1:41">
      <c r="A43" s="391" t="s">
        <v>592</v>
      </c>
      <c r="B43" s="408">
        <v>31532</v>
      </c>
      <c r="C43" s="391" t="s">
        <v>619</v>
      </c>
      <c r="D43" s="391" t="s">
        <v>620</v>
      </c>
      <c r="E43" s="391" t="s">
        <v>539</v>
      </c>
      <c r="F43" s="391" t="s">
        <v>540</v>
      </c>
      <c r="G43" s="391">
        <v>30</v>
      </c>
      <c r="H43" s="392">
        <v>170580.36</v>
      </c>
      <c r="I43" s="392">
        <v>170364.33000000002</v>
      </c>
      <c r="J43" s="392">
        <v>5686.01</v>
      </c>
      <c r="K43" s="391" t="s">
        <v>505</v>
      </c>
      <c r="L43" s="391" t="s">
        <v>505</v>
      </c>
      <c r="O43" s="392">
        <f t="shared" si="14"/>
        <v>0</v>
      </c>
      <c r="P43" s="392">
        <f t="shared" si="14"/>
        <v>0</v>
      </c>
      <c r="Q43" s="392">
        <f t="shared" si="14"/>
        <v>170580.36</v>
      </c>
      <c r="R43" s="392">
        <f t="shared" si="14"/>
        <v>0</v>
      </c>
      <c r="S43" s="392">
        <f t="shared" si="14"/>
        <v>0</v>
      </c>
      <c r="U43" s="392">
        <f t="shared" si="1"/>
        <v>0</v>
      </c>
      <c r="V43" s="392">
        <f t="shared" si="1"/>
        <v>0</v>
      </c>
      <c r="W43" s="392">
        <f t="shared" si="1"/>
        <v>170364.33000000002</v>
      </c>
      <c r="X43" s="392">
        <f t="shared" si="1"/>
        <v>0</v>
      </c>
      <c r="Y43" s="392">
        <f t="shared" si="1"/>
        <v>0</v>
      </c>
      <c r="AA43" s="392">
        <f t="shared" si="2"/>
        <v>0</v>
      </c>
      <c r="AB43" s="392">
        <f t="shared" si="2"/>
        <v>0</v>
      </c>
      <c r="AC43" s="392">
        <f t="shared" si="2"/>
        <v>5686.01</v>
      </c>
      <c r="AD43" s="392">
        <f t="shared" si="2"/>
        <v>0</v>
      </c>
      <c r="AE43" s="392">
        <f t="shared" si="2"/>
        <v>0</v>
      </c>
      <c r="AG43" s="409">
        <f t="shared" si="15"/>
        <v>0</v>
      </c>
      <c r="AH43" s="409">
        <f t="shared" si="15"/>
        <v>0</v>
      </c>
      <c r="AI43" s="409">
        <f t="shared" si="15"/>
        <v>1</v>
      </c>
      <c r="AJ43" s="409">
        <f t="shared" si="15"/>
        <v>0</v>
      </c>
      <c r="AK43" s="409">
        <f t="shared" si="15"/>
        <v>0</v>
      </c>
      <c r="AN43" s="391">
        <v>170580.36</v>
      </c>
      <c r="AO43" s="423">
        <f t="shared" si="4"/>
        <v>0</v>
      </c>
    </row>
    <row r="44" spans="1:41">
      <c r="A44" s="391" t="s">
        <v>554</v>
      </c>
      <c r="B44" s="408">
        <v>31532</v>
      </c>
      <c r="C44" s="391" t="s">
        <v>621</v>
      </c>
      <c r="D44" s="391" t="s">
        <v>622</v>
      </c>
      <c r="E44" s="391" t="s">
        <v>539</v>
      </c>
      <c r="F44" s="391" t="s">
        <v>540</v>
      </c>
      <c r="G44" s="391">
        <v>30</v>
      </c>
      <c r="H44" s="392">
        <v>303410.74</v>
      </c>
      <c r="I44" s="392">
        <v>302944.7</v>
      </c>
      <c r="J44" s="392">
        <v>10113.69</v>
      </c>
      <c r="K44" s="391" t="s">
        <v>505</v>
      </c>
      <c r="L44" s="391" t="s">
        <v>505</v>
      </c>
      <c r="O44" s="392">
        <f t="shared" si="14"/>
        <v>0</v>
      </c>
      <c r="P44" s="392">
        <f t="shared" si="14"/>
        <v>0</v>
      </c>
      <c r="Q44" s="392">
        <f t="shared" si="14"/>
        <v>303410.74</v>
      </c>
      <c r="R44" s="392">
        <f t="shared" si="14"/>
        <v>0</v>
      </c>
      <c r="S44" s="392">
        <f t="shared" si="14"/>
        <v>0</v>
      </c>
      <c r="U44" s="392">
        <f t="shared" si="1"/>
        <v>0</v>
      </c>
      <c r="V44" s="392">
        <f t="shared" si="1"/>
        <v>0</v>
      </c>
      <c r="W44" s="392">
        <f t="shared" si="1"/>
        <v>302944.7</v>
      </c>
      <c r="X44" s="392">
        <f t="shared" si="1"/>
        <v>0</v>
      </c>
      <c r="Y44" s="392">
        <f t="shared" si="1"/>
        <v>0</v>
      </c>
      <c r="AA44" s="392">
        <f t="shared" si="2"/>
        <v>0</v>
      </c>
      <c r="AB44" s="392">
        <f t="shared" si="2"/>
        <v>0</v>
      </c>
      <c r="AC44" s="392">
        <f t="shared" si="2"/>
        <v>10113.69</v>
      </c>
      <c r="AD44" s="392">
        <f t="shared" si="2"/>
        <v>0</v>
      </c>
      <c r="AE44" s="392">
        <f t="shared" si="2"/>
        <v>0</v>
      </c>
      <c r="AG44" s="409">
        <f t="shared" si="15"/>
        <v>0</v>
      </c>
      <c r="AH44" s="409">
        <f t="shared" si="15"/>
        <v>0</v>
      </c>
      <c r="AI44" s="409">
        <f t="shared" si="15"/>
        <v>1</v>
      </c>
      <c r="AJ44" s="409">
        <f t="shared" si="15"/>
        <v>0</v>
      </c>
      <c r="AK44" s="409">
        <f t="shared" si="15"/>
        <v>0</v>
      </c>
      <c r="AN44" s="391">
        <v>303410.74</v>
      </c>
      <c r="AO44" s="423">
        <f t="shared" si="4"/>
        <v>0</v>
      </c>
    </row>
    <row r="45" spans="1:41">
      <c r="A45" s="391" t="s">
        <v>554</v>
      </c>
      <c r="B45" s="408">
        <v>31532</v>
      </c>
      <c r="C45" s="391" t="s">
        <v>621</v>
      </c>
      <c r="D45" s="391" t="s">
        <v>623</v>
      </c>
      <c r="E45" s="391" t="s">
        <v>539</v>
      </c>
      <c r="F45" s="391" t="s">
        <v>540</v>
      </c>
      <c r="G45" s="391">
        <v>30</v>
      </c>
      <c r="H45" s="392">
        <v>230069.27</v>
      </c>
      <c r="I45" s="392">
        <v>229847.47</v>
      </c>
      <c r="J45" s="392">
        <v>7668.98</v>
      </c>
      <c r="K45" s="391" t="s">
        <v>505</v>
      </c>
      <c r="L45" s="391" t="s">
        <v>505</v>
      </c>
      <c r="O45" s="392">
        <f t="shared" si="14"/>
        <v>0</v>
      </c>
      <c r="P45" s="392">
        <f t="shared" si="14"/>
        <v>0</v>
      </c>
      <c r="Q45" s="392">
        <f t="shared" si="14"/>
        <v>230069.27</v>
      </c>
      <c r="R45" s="392">
        <f t="shared" si="14"/>
        <v>0</v>
      </c>
      <c r="S45" s="392">
        <f t="shared" si="14"/>
        <v>0</v>
      </c>
      <c r="U45" s="392">
        <f t="shared" si="1"/>
        <v>0</v>
      </c>
      <c r="V45" s="392">
        <f t="shared" si="1"/>
        <v>0</v>
      </c>
      <c r="W45" s="392">
        <f t="shared" si="1"/>
        <v>229847.47</v>
      </c>
      <c r="X45" s="392">
        <f t="shared" si="1"/>
        <v>0</v>
      </c>
      <c r="Y45" s="392">
        <f t="shared" si="1"/>
        <v>0</v>
      </c>
      <c r="AA45" s="392">
        <f t="shared" si="2"/>
        <v>0</v>
      </c>
      <c r="AB45" s="392">
        <f t="shared" si="2"/>
        <v>0</v>
      </c>
      <c r="AC45" s="392">
        <f t="shared" si="2"/>
        <v>7668.98</v>
      </c>
      <c r="AD45" s="392">
        <f t="shared" si="2"/>
        <v>0</v>
      </c>
      <c r="AE45" s="392">
        <f t="shared" si="2"/>
        <v>0</v>
      </c>
      <c r="AG45" s="409">
        <f t="shared" si="15"/>
        <v>0</v>
      </c>
      <c r="AH45" s="409">
        <f t="shared" si="15"/>
        <v>0</v>
      </c>
      <c r="AI45" s="409">
        <f t="shared" si="15"/>
        <v>1</v>
      </c>
      <c r="AJ45" s="409">
        <f t="shared" si="15"/>
        <v>0</v>
      </c>
      <c r="AK45" s="409">
        <f t="shared" si="15"/>
        <v>0</v>
      </c>
      <c r="AN45" s="391">
        <v>230069.27</v>
      </c>
      <c r="AO45" s="423">
        <f t="shared" si="4"/>
        <v>0</v>
      </c>
    </row>
    <row r="46" spans="1:41">
      <c r="A46" s="391" t="s">
        <v>567</v>
      </c>
      <c r="B46" s="408">
        <v>31897</v>
      </c>
      <c r="C46" s="391" t="s">
        <v>624</v>
      </c>
      <c r="D46" s="391" t="s">
        <v>625</v>
      </c>
      <c r="E46" s="391" t="s">
        <v>539</v>
      </c>
      <c r="F46" s="391" t="s">
        <v>540</v>
      </c>
      <c r="G46" s="391">
        <v>30</v>
      </c>
      <c r="H46" s="392">
        <v>19093.25</v>
      </c>
      <c r="I46" s="392">
        <v>18440.969999999998</v>
      </c>
      <c r="J46" s="392">
        <v>636.44000000000005</v>
      </c>
      <c r="K46" s="391" t="s">
        <v>505</v>
      </c>
      <c r="L46" s="391" t="s">
        <v>505</v>
      </c>
      <c r="O46" s="392">
        <f t="shared" si="14"/>
        <v>0</v>
      </c>
      <c r="P46" s="392">
        <f t="shared" si="14"/>
        <v>0</v>
      </c>
      <c r="Q46" s="392">
        <f t="shared" si="14"/>
        <v>19093.25</v>
      </c>
      <c r="R46" s="392">
        <f t="shared" si="14"/>
        <v>0</v>
      </c>
      <c r="S46" s="392">
        <f t="shared" si="14"/>
        <v>0</v>
      </c>
      <c r="U46" s="392">
        <f t="shared" si="1"/>
        <v>0</v>
      </c>
      <c r="V46" s="392">
        <f t="shared" si="1"/>
        <v>0</v>
      </c>
      <c r="W46" s="392">
        <f t="shared" si="1"/>
        <v>18440.969999999998</v>
      </c>
      <c r="X46" s="392">
        <f t="shared" si="1"/>
        <v>0</v>
      </c>
      <c r="Y46" s="392">
        <f t="shared" si="1"/>
        <v>0</v>
      </c>
      <c r="AA46" s="392">
        <f t="shared" si="2"/>
        <v>0</v>
      </c>
      <c r="AB46" s="392">
        <f t="shared" si="2"/>
        <v>0</v>
      </c>
      <c r="AC46" s="392">
        <f t="shared" si="2"/>
        <v>636.44000000000005</v>
      </c>
      <c r="AD46" s="392">
        <f t="shared" si="2"/>
        <v>0</v>
      </c>
      <c r="AE46" s="392">
        <f t="shared" si="2"/>
        <v>0</v>
      </c>
      <c r="AG46" s="409">
        <f t="shared" si="15"/>
        <v>0</v>
      </c>
      <c r="AH46" s="409">
        <f t="shared" si="15"/>
        <v>0</v>
      </c>
      <c r="AI46" s="409">
        <f t="shared" si="15"/>
        <v>1</v>
      </c>
      <c r="AJ46" s="409">
        <f t="shared" si="15"/>
        <v>0</v>
      </c>
      <c r="AK46" s="409">
        <f t="shared" si="15"/>
        <v>0</v>
      </c>
      <c r="AN46" s="391">
        <v>19093.25</v>
      </c>
      <c r="AO46" s="423">
        <f t="shared" si="4"/>
        <v>0</v>
      </c>
    </row>
    <row r="47" spans="1:41">
      <c r="A47" s="391" t="s">
        <v>616</v>
      </c>
      <c r="B47" s="408">
        <v>31897</v>
      </c>
      <c r="C47" s="391" t="s">
        <v>626</v>
      </c>
      <c r="D47" s="391" t="s">
        <v>627</v>
      </c>
      <c r="E47" s="391" t="s">
        <v>539</v>
      </c>
      <c r="F47" s="391" t="s">
        <v>540</v>
      </c>
      <c r="G47" s="391">
        <v>25</v>
      </c>
      <c r="H47" s="392">
        <v>40238.01</v>
      </c>
      <c r="I47" s="392">
        <v>40238.01</v>
      </c>
      <c r="J47" s="392">
        <v>0</v>
      </c>
      <c r="K47" s="391" t="s">
        <v>505</v>
      </c>
      <c r="L47" s="391" t="s">
        <v>505</v>
      </c>
      <c r="O47" s="392">
        <f t="shared" si="14"/>
        <v>0</v>
      </c>
      <c r="P47" s="392">
        <f t="shared" si="14"/>
        <v>0</v>
      </c>
      <c r="Q47" s="392">
        <f t="shared" si="14"/>
        <v>40238.01</v>
      </c>
      <c r="R47" s="392">
        <f t="shared" si="14"/>
        <v>0</v>
      </c>
      <c r="S47" s="392">
        <f t="shared" si="14"/>
        <v>0</v>
      </c>
      <c r="U47" s="392">
        <f t="shared" si="1"/>
        <v>0</v>
      </c>
      <c r="V47" s="392">
        <f t="shared" si="1"/>
        <v>0</v>
      </c>
      <c r="W47" s="392">
        <f t="shared" si="1"/>
        <v>40238.01</v>
      </c>
      <c r="X47" s="392">
        <f t="shared" si="1"/>
        <v>0</v>
      </c>
      <c r="Y47" s="392">
        <f t="shared" si="1"/>
        <v>0</v>
      </c>
      <c r="AA47" s="392">
        <f t="shared" si="2"/>
        <v>0</v>
      </c>
      <c r="AB47" s="392">
        <f t="shared" si="2"/>
        <v>0</v>
      </c>
      <c r="AC47" s="392">
        <f t="shared" si="2"/>
        <v>0</v>
      </c>
      <c r="AD47" s="392">
        <f t="shared" si="2"/>
        <v>0</v>
      </c>
      <c r="AE47" s="392">
        <f t="shared" si="2"/>
        <v>0</v>
      </c>
      <c r="AG47" s="409">
        <f t="shared" si="15"/>
        <v>0</v>
      </c>
      <c r="AH47" s="409">
        <f t="shared" si="15"/>
        <v>0</v>
      </c>
      <c r="AI47" s="409">
        <f t="shared" si="15"/>
        <v>1</v>
      </c>
      <c r="AJ47" s="409">
        <f t="shared" si="15"/>
        <v>0</v>
      </c>
      <c r="AK47" s="409">
        <f t="shared" si="15"/>
        <v>0</v>
      </c>
      <c r="AN47" s="391">
        <v>40238.01</v>
      </c>
      <c r="AO47" s="423">
        <f t="shared" si="4"/>
        <v>0</v>
      </c>
    </row>
    <row r="48" spans="1:41">
      <c r="A48" s="391" t="s">
        <v>592</v>
      </c>
      <c r="B48" s="408">
        <v>31897</v>
      </c>
      <c r="C48" s="391" t="s">
        <v>628</v>
      </c>
      <c r="D48" s="391" t="s">
        <v>629</v>
      </c>
      <c r="E48" s="391" t="s">
        <v>539</v>
      </c>
      <c r="F48" s="391" t="s">
        <v>540</v>
      </c>
      <c r="G48" s="391">
        <v>30</v>
      </c>
      <c r="H48" s="392">
        <v>122277.89</v>
      </c>
      <c r="I48" s="392">
        <v>118091.90999999999</v>
      </c>
      <c r="J48" s="392">
        <v>4075.93</v>
      </c>
      <c r="K48" s="391" t="s">
        <v>505</v>
      </c>
      <c r="L48" s="391" t="s">
        <v>505</v>
      </c>
      <c r="O48" s="392">
        <f t="shared" ref="O48:S56" si="16">IF(O$8=$K48,$H48,0)</f>
        <v>0</v>
      </c>
      <c r="P48" s="392">
        <f t="shared" si="16"/>
        <v>0</v>
      </c>
      <c r="Q48" s="392">
        <f t="shared" si="16"/>
        <v>122277.89</v>
      </c>
      <c r="R48" s="392">
        <f t="shared" si="16"/>
        <v>0</v>
      </c>
      <c r="S48" s="392">
        <f t="shared" si="16"/>
        <v>0</v>
      </c>
      <c r="U48" s="392">
        <f t="shared" si="1"/>
        <v>0</v>
      </c>
      <c r="V48" s="392">
        <f t="shared" si="1"/>
        <v>0</v>
      </c>
      <c r="W48" s="392">
        <f t="shared" si="1"/>
        <v>118091.90999999999</v>
      </c>
      <c r="X48" s="392">
        <f t="shared" si="1"/>
        <v>0</v>
      </c>
      <c r="Y48" s="392">
        <f t="shared" si="1"/>
        <v>0</v>
      </c>
      <c r="AA48" s="392">
        <f t="shared" si="2"/>
        <v>0</v>
      </c>
      <c r="AB48" s="392">
        <f t="shared" si="2"/>
        <v>0</v>
      </c>
      <c r="AC48" s="392">
        <f t="shared" si="2"/>
        <v>4075.93</v>
      </c>
      <c r="AD48" s="392">
        <f t="shared" si="2"/>
        <v>0</v>
      </c>
      <c r="AE48" s="392">
        <f t="shared" si="2"/>
        <v>0</v>
      </c>
      <c r="AG48" s="409">
        <f t="shared" si="15"/>
        <v>0</v>
      </c>
      <c r="AH48" s="409">
        <f t="shared" si="15"/>
        <v>0</v>
      </c>
      <c r="AI48" s="409">
        <f t="shared" si="15"/>
        <v>1</v>
      </c>
      <c r="AJ48" s="409">
        <f t="shared" si="15"/>
        <v>0</v>
      </c>
      <c r="AK48" s="409">
        <f t="shared" si="15"/>
        <v>0</v>
      </c>
      <c r="AN48" s="391">
        <v>122277.89</v>
      </c>
      <c r="AO48" s="423">
        <f t="shared" si="4"/>
        <v>0</v>
      </c>
    </row>
    <row r="49" spans="1:41">
      <c r="A49" s="391" t="s">
        <v>554</v>
      </c>
      <c r="B49" s="408">
        <v>31897</v>
      </c>
      <c r="C49" s="391" t="s">
        <v>630</v>
      </c>
      <c r="D49" s="391" t="s">
        <v>631</v>
      </c>
      <c r="E49" s="391" t="s">
        <v>539</v>
      </c>
      <c r="F49" s="391" t="s">
        <v>540</v>
      </c>
      <c r="G49" s="391">
        <v>30</v>
      </c>
      <c r="H49" s="392">
        <v>270711.89</v>
      </c>
      <c r="I49" s="392">
        <v>261342.29</v>
      </c>
      <c r="J49" s="392">
        <v>9023.73</v>
      </c>
      <c r="K49" s="391" t="s">
        <v>505</v>
      </c>
      <c r="L49" s="391" t="s">
        <v>505</v>
      </c>
      <c r="O49" s="392">
        <f t="shared" si="16"/>
        <v>0</v>
      </c>
      <c r="P49" s="392">
        <f t="shared" si="16"/>
        <v>0</v>
      </c>
      <c r="Q49" s="392">
        <f t="shared" si="16"/>
        <v>270711.89</v>
      </c>
      <c r="R49" s="392">
        <f t="shared" si="16"/>
        <v>0</v>
      </c>
      <c r="S49" s="392">
        <f t="shared" si="16"/>
        <v>0</v>
      </c>
      <c r="U49" s="392">
        <f t="shared" ref="U49:Y95" si="17">$I49*AG49</f>
        <v>0</v>
      </c>
      <c r="V49" s="392">
        <f t="shared" si="17"/>
        <v>0</v>
      </c>
      <c r="W49" s="392">
        <f t="shared" si="17"/>
        <v>261342.29</v>
      </c>
      <c r="X49" s="392">
        <f t="shared" si="17"/>
        <v>0</v>
      </c>
      <c r="Y49" s="392">
        <f t="shared" si="17"/>
        <v>0</v>
      </c>
      <c r="AA49" s="392">
        <f t="shared" ref="AA49:AE95" si="18">$J49*AG49</f>
        <v>0</v>
      </c>
      <c r="AB49" s="392">
        <f t="shared" si="18"/>
        <v>0</v>
      </c>
      <c r="AC49" s="392">
        <f t="shared" si="18"/>
        <v>9023.73</v>
      </c>
      <c r="AD49" s="392">
        <f t="shared" si="18"/>
        <v>0</v>
      </c>
      <c r="AE49" s="392">
        <f t="shared" si="18"/>
        <v>0</v>
      </c>
      <c r="AG49" s="409">
        <f t="shared" si="15"/>
        <v>0</v>
      </c>
      <c r="AH49" s="409">
        <f t="shared" si="15"/>
        <v>0</v>
      </c>
      <c r="AI49" s="409">
        <f t="shared" si="15"/>
        <v>1</v>
      </c>
      <c r="AJ49" s="409">
        <f t="shared" si="15"/>
        <v>0</v>
      </c>
      <c r="AK49" s="409">
        <f t="shared" si="15"/>
        <v>0</v>
      </c>
      <c r="AN49" s="391">
        <v>270711.89</v>
      </c>
      <c r="AO49" s="423">
        <f t="shared" si="4"/>
        <v>0</v>
      </c>
    </row>
    <row r="50" spans="1:41">
      <c r="A50" s="391" t="s">
        <v>632</v>
      </c>
      <c r="B50" s="408">
        <v>32143</v>
      </c>
      <c r="C50" s="391" t="s">
        <v>633</v>
      </c>
      <c r="D50" s="391" t="s">
        <v>634</v>
      </c>
      <c r="E50" s="391" t="s">
        <v>539</v>
      </c>
      <c r="F50" s="391" t="s">
        <v>540</v>
      </c>
      <c r="G50" s="391">
        <v>10</v>
      </c>
      <c r="H50" s="392">
        <v>50015.61</v>
      </c>
      <c r="I50" s="392">
        <v>50015.61</v>
      </c>
      <c r="J50" s="392">
        <v>0</v>
      </c>
      <c r="K50" s="391" t="s">
        <v>515</v>
      </c>
      <c r="L50" s="391" t="s">
        <v>515</v>
      </c>
      <c r="O50" s="392">
        <f t="shared" si="16"/>
        <v>0</v>
      </c>
      <c r="P50" s="392">
        <f t="shared" si="16"/>
        <v>0</v>
      </c>
      <c r="Q50" s="392">
        <f t="shared" si="16"/>
        <v>0</v>
      </c>
      <c r="R50" s="392">
        <f t="shared" si="16"/>
        <v>50015.61</v>
      </c>
      <c r="S50" s="392">
        <f t="shared" si="16"/>
        <v>0</v>
      </c>
      <c r="U50" s="392">
        <f t="shared" si="17"/>
        <v>0</v>
      </c>
      <c r="V50" s="392">
        <f t="shared" si="17"/>
        <v>0</v>
      </c>
      <c r="W50" s="392">
        <f t="shared" si="17"/>
        <v>0</v>
      </c>
      <c r="X50" s="392">
        <f t="shared" si="17"/>
        <v>50015.61</v>
      </c>
      <c r="Y50" s="392">
        <f t="shared" si="17"/>
        <v>0</v>
      </c>
      <c r="AA50" s="392">
        <f t="shared" si="18"/>
        <v>0</v>
      </c>
      <c r="AB50" s="392">
        <f t="shared" si="18"/>
        <v>0</v>
      </c>
      <c r="AC50" s="392">
        <f t="shared" si="18"/>
        <v>0</v>
      </c>
      <c r="AD50" s="392">
        <f t="shared" si="18"/>
        <v>0</v>
      </c>
      <c r="AE50" s="392">
        <f t="shared" si="18"/>
        <v>0</v>
      </c>
      <c r="AG50" s="409">
        <f t="shared" si="15"/>
        <v>0</v>
      </c>
      <c r="AH50" s="409">
        <f t="shared" si="15"/>
        <v>0</v>
      </c>
      <c r="AI50" s="409">
        <f t="shared" si="15"/>
        <v>0</v>
      </c>
      <c r="AJ50" s="409">
        <f t="shared" si="15"/>
        <v>1</v>
      </c>
      <c r="AK50" s="409">
        <f t="shared" si="15"/>
        <v>0</v>
      </c>
      <c r="AN50" s="391">
        <v>50015.61</v>
      </c>
      <c r="AO50" s="423">
        <f t="shared" si="4"/>
        <v>0</v>
      </c>
    </row>
    <row r="51" spans="1:41">
      <c r="A51" s="391" t="s">
        <v>567</v>
      </c>
      <c r="B51" s="408">
        <v>32263</v>
      </c>
      <c r="C51" s="391" t="s">
        <v>635</v>
      </c>
      <c r="D51" s="391" t="s">
        <v>636</v>
      </c>
      <c r="E51" s="391" t="s">
        <v>539</v>
      </c>
      <c r="F51" s="391" t="s">
        <v>540</v>
      </c>
      <c r="G51" s="391">
        <v>30</v>
      </c>
      <c r="H51" s="392">
        <v>24803.91</v>
      </c>
      <c r="I51" s="392">
        <v>23131.649999999998</v>
      </c>
      <c r="J51" s="392">
        <v>826.8</v>
      </c>
      <c r="K51" s="391" t="s">
        <v>505</v>
      </c>
      <c r="L51" s="391" t="s">
        <v>505</v>
      </c>
      <c r="O51" s="392">
        <f t="shared" si="16"/>
        <v>0</v>
      </c>
      <c r="P51" s="392">
        <f t="shared" si="16"/>
        <v>0</v>
      </c>
      <c r="Q51" s="392">
        <f t="shared" si="16"/>
        <v>24803.91</v>
      </c>
      <c r="R51" s="392">
        <f t="shared" si="16"/>
        <v>0</v>
      </c>
      <c r="S51" s="392">
        <f t="shared" si="16"/>
        <v>0</v>
      </c>
      <c r="U51" s="392">
        <f t="shared" si="17"/>
        <v>0</v>
      </c>
      <c r="V51" s="392">
        <f t="shared" si="17"/>
        <v>0</v>
      </c>
      <c r="W51" s="392">
        <f t="shared" si="17"/>
        <v>23131.649999999998</v>
      </c>
      <c r="X51" s="392">
        <f t="shared" si="17"/>
        <v>0</v>
      </c>
      <c r="Y51" s="392">
        <f t="shared" si="17"/>
        <v>0</v>
      </c>
      <c r="AA51" s="392">
        <f t="shared" si="18"/>
        <v>0</v>
      </c>
      <c r="AB51" s="392">
        <f t="shared" si="18"/>
        <v>0</v>
      </c>
      <c r="AC51" s="392">
        <f t="shared" si="18"/>
        <v>826.8</v>
      </c>
      <c r="AD51" s="392">
        <f t="shared" si="18"/>
        <v>0</v>
      </c>
      <c r="AE51" s="392">
        <f t="shared" si="18"/>
        <v>0</v>
      </c>
      <c r="AG51" s="409">
        <f t="shared" si="15"/>
        <v>0</v>
      </c>
      <c r="AH51" s="409">
        <f t="shared" si="15"/>
        <v>0</v>
      </c>
      <c r="AI51" s="409">
        <f t="shared" si="15"/>
        <v>1</v>
      </c>
      <c r="AJ51" s="409">
        <f t="shared" si="15"/>
        <v>0</v>
      </c>
      <c r="AK51" s="409">
        <f t="shared" si="15"/>
        <v>0</v>
      </c>
      <c r="AN51" s="391">
        <v>24803.91</v>
      </c>
      <c r="AO51" s="423">
        <f t="shared" si="4"/>
        <v>0</v>
      </c>
    </row>
    <row r="52" spans="1:41">
      <c r="A52" s="391" t="s">
        <v>616</v>
      </c>
      <c r="B52" s="408">
        <v>32263</v>
      </c>
      <c r="C52" s="391" t="s">
        <v>637</v>
      </c>
      <c r="D52" s="391" t="s">
        <v>638</v>
      </c>
      <c r="E52" s="391" t="s">
        <v>539</v>
      </c>
      <c r="F52" s="391" t="s">
        <v>540</v>
      </c>
      <c r="G52" s="391">
        <v>25</v>
      </c>
      <c r="H52" s="392">
        <v>21642.55</v>
      </c>
      <c r="I52" s="392">
        <v>21642.55</v>
      </c>
      <c r="J52" s="392">
        <v>0</v>
      </c>
      <c r="K52" s="391" t="s">
        <v>505</v>
      </c>
      <c r="L52" s="391" t="s">
        <v>505</v>
      </c>
      <c r="O52" s="392">
        <f t="shared" si="16"/>
        <v>0</v>
      </c>
      <c r="P52" s="392">
        <f t="shared" si="16"/>
        <v>0</v>
      </c>
      <c r="Q52" s="392">
        <f t="shared" si="16"/>
        <v>21642.55</v>
      </c>
      <c r="R52" s="392">
        <f t="shared" si="16"/>
        <v>0</v>
      </c>
      <c r="S52" s="392">
        <f t="shared" si="16"/>
        <v>0</v>
      </c>
      <c r="U52" s="392">
        <f t="shared" si="17"/>
        <v>0</v>
      </c>
      <c r="V52" s="392">
        <f t="shared" si="17"/>
        <v>0</v>
      </c>
      <c r="W52" s="392">
        <f t="shared" si="17"/>
        <v>21642.55</v>
      </c>
      <c r="X52" s="392">
        <f t="shared" si="17"/>
        <v>0</v>
      </c>
      <c r="Y52" s="392">
        <f t="shared" si="17"/>
        <v>0</v>
      </c>
      <c r="AA52" s="392">
        <f t="shared" si="18"/>
        <v>0</v>
      </c>
      <c r="AB52" s="392">
        <f t="shared" si="18"/>
        <v>0</v>
      </c>
      <c r="AC52" s="392">
        <f t="shared" si="18"/>
        <v>0</v>
      </c>
      <c r="AD52" s="392">
        <f t="shared" si="18"/>
        <v>0</v>
      </c>
      <c r="AE52" s="392">
        <f t="shared" si="18"/>
        <v>0</v>
      </c>
      <c r="AG52" s="409">
        <f t="shared" si="15"/>
        <v>0</v>
      </c>
      <c r="AH52" s="409">
        <f t="shared" si="15"/>
        <v>0</v>
      </c>
      <c r="AI52" s="409">
        <f t="shared" si="15"/>
        <v>1</v>
      </c>
      <c r="AJ52" s="409">
        <f t="shared" si="15"/>
        <v>0</v>
      </c>
      <c r="AK52" s="409">
        <f t="shared" si="15"/>
        <v>0</v>
      </c>
      <c r="AN52" s="391">
        <v>21642.55</v>
      </c>
      <c r="AO52" s="423">
        <f t="shared" si="4"/>
        <v>0</v>
      </c>
    </row>
    <row r="53" spans="1:41">
      <c r="A53" s="391" t="s">
        <v>592</v>
      </c>
      <c r="B53" s="408">
        <v>32263</v>
      </c>
      <c r="C53" s="391" t="s">
        <v>639</v>
      </c>
      <c r="D53" s="391" t="s">
        <v>640</v>
      </c>
      <c r="E53" s="391" t="s">
        <v>539</v>
      </c>
      <c r="F53" s="391" t="s">
        <v>540</v>
      </c>
      <c r="G53" s="391">
        <v>30</v>
      </c>
      <c r="H53" s="392">
        <v>92680.3</v>
      </c>
      <c r="I53" s="392">
        <v>86393.25</v>
      </c>
      <c r="J53" s="392">
        <v>3089.34</v>
      </c>
      <c r="K53" s="391" t="s">
        <v>505</v>
      </c>
      <c r="L53" s="391" t="s">
        <v>505</v>
      </c>
      <c r="O53" s="392">
        <f t="shared" si="16"/>
        <v>0</v>
      </c>
      <c r="P53" s="392">
        <f t="shared" si="16"/>
        <v>0</v>
      </c>
      <c r="Q53" s="392">
        <f t="shared" si="16"/>
        <v>92680.3</v>
      </c>
      <c r="R53" s="392">
        <f t="shared" si="16"/>
        <v>0</v>
      </c>
      <c r="S53" s="392">
        <f t="shared" si="16"/>
        <v>0</v>
      </c>
      <c r="U53" s="392">
        <f t="shared" si="17"/>
        <v>0</v>
      </c>
      <c r="V53" s="392">
        <f t="shared" si="17"/>
        <v>0</v>
      </c>
      <c r="W53" s="392">
        <f t="shared" si="17"/>
        <v>86393.25</v>
      </c>
      <c r="X53" s="392">
        <f t="shared" si="17"/>
        <v>0</v>
      </c>
      <c r="Y53" s="392">
        <f t="shared" si="17"/>
        <v>0</v>
      </c>
      <c r="AA53" s="392">
        <f t="shared" si="18"/>
        <v>0</v>
      </c>
      <c r="AB53" s="392">
        <f t="shared" si="18"/>
        <v>0</v>
      </c>
      <c r="AC53" s="392">
        <f t="shared" si="18"/>
        <v>3089.34</v>
      </c>
      <c r="AD53" s="392">
        <f t="shared" si="18"/>
        <v>0</v>
      </c>
      <c r="AE53" s="392">
        <f t="shared" si="18"/>
        <v>0</v>
      </c>
      <c r="AG53" s="409">
        <f t="shared" si="15"/>
        <v>0</v>
      </c>
      <c r="AH53" s="409">
        <f t="shared" si="15"/>
        <v>0</v>
      </c>
      <c r="AI53" s="409">
        <f t="shared" si="15"/>
        <v>1</v>
      </c>
      <c r="AJ53" s="409">
        <f t="shared" si="15"/>
        <v>0</v>
      </c>
      <c r="AK53" s="409">
        <f t="shared" si="15"/>
        <v>0</v>
      </c>
      <c r="AN53" s="391">
        <v>92680.3</v>
      </c>
      <c r="AO53" s="423">
        <f t="shared" si="4"/>
        <v>0</v>
      </c>
    </row>
    <row r="54" spans="1:41">
      <c r="A54" s="391" t="s">
        <v>585</v>
      </c>
      <c r="B54" s="408">
        <v>32263</v>
      </c>
      <c r="C54" s="391" t="s">
        <v>641</v>
      </c>
      <c r="D54" s="391" t="s">
        <v>642</v>
      </c>
      <c r="E54" s="391" t="s">
        <v>539</v>
      </c>
      <c r="F54" s="391" t="s">
        <v>540</v>
      </c>
      <c r="G54" s="391">
        <v>30</v>
      </c>
      <c r="H54" s="392">
        <v>163998.63</v>
      </c>
      <c r="I54" s="392">
        <v>153065.38</v>
      </c>
      <c r="J54" s="392">
        <v>5466.62</v>
      </c>
      <c r="K54" s="391" t="s">
        <v>505</v>
      </c>
      <c r="L54" s="391" t="s">
        <v>505</v>
      </c>
      <c r="O54" s="392">
        <f t="shared" si="16"/>
        <v>0</v>
      </c>
      <c r="P54" s="392">
        <f t="shared" si="16"/>
        <v>0</v>
      </c>
      <c r="Q54" s="392">
        <f t="shared" si="16"/>
        <v>163998.63</v>
      </c>
      <c r="R54" s="392">
        <f t="shared" si="16"/>
        <v>0</v>
      </c>
      <c r="S54" s="392">
        <f t="shared" si="16"/>
        <v>0</v>
      </c>
      <c r="U54" s="392">
        <f t="shared" si="17"/>
        <v>0</v>
      </c>
      <c r="V54" s="392">
        <f t="shared" si="17"/>
        <v>0</v>
      </c>
      <c r="W54" s="392">
        <f t="shared" si="17"/>
        <v>153065.38</v>
      </c>
      <c r="X54" s="392">
        <f t="shared" si="17"/>
        <v>0</v>
      </c>
      <c r="Y54" s="392">
        <f t="shared" si="17"/>
        <v>0</v>
      </c>
      <c r="AA54" s="392">
        <f t="shared" si="18"/>
        <v>0</v>
      </c>
      <c r="AB54" s="392">
        <f t="shared" si="18"/>
        <v>0</v>
      </c>
      <c r="AC54" s="392">
        <f t="shared" si="18"/>
        <v>5466.62</v>
      </c>
      <c r="AD54" s="392">
        <f t="shared" si="18"/>
        <v>0</v>
      </c>
      <c r="AE54" s="392">
        <f t="shared" si="18"/>
        <v>0</v>
      </c>
      <c r="AG54" s="409">
        <f t="shared" si="15"/>
        <v>0</v>
      </c>
      <c r="AH54" s="409">
        <f t="shared" si="15"/>
        <v>0</v>
      </c>
      <c r="AI54" s="409">
        <f t="shared" si="15"/>
        <v>1</v>
      </c>
      <c r="AJ54" s="409">
        <f t="shared" si="15"/>
        <v>0</v>
      </c>
      <c r="AK54" s="409">
        <f t="shared" si="15"/>
        <v>0</v>
      </c>
      <c r="AN54" s="391">
        <v>163998.63</v>
      </c>
      <c r="AO54" s="423">
        <f t="shared" si="4"/>
        <v>0</v>
      </c>
    </row>
    <row r="55" spans="1:41">
      <c r="A55" s="391" t="s">
        <v>643</v>
      </c>
      <c r="B55" s="408">
        <v>32263</v>
      </c>
      <c r="C55" s="391" t="s">
        <v>644</v>
      </c>
      <c r="D55" s="391" t="s">
        <v>645</v>
      </c>
      <c r="E55" s="391" t="s">
        <v>539</v>
      </c>
      <c r="F55" s="391" t="s">
        <v>540</v>
      </c>
      <c r="G55" s="391">
        <v>30</v>
      </c>
      <c r="H55" s="392">
        <v>1706177.25</v>
      </c>
      <c r="I55" s="392">
        <v>1592432.1300000001</v>
      </c>
      <c r="J55" s="392">
        <v>56872.58</v>
      </c>
      <c r="K55" s="391" t="s">
        <v>505</v>
      </c>
      <c r="L55" s="391" t="s">
        <v>505</v>
      </c>
      <c r="O55" s="392">
        <f t="shared" si="16"/>
        <v>0</v>
      </c>
      <c r="P55" s="392">
        <f t="shared" si="16"/>
        <v>0</v>
      </c>
      <c r="Q55" s="392">
        <f t="shared" si="16"/>
        <v>1706177.25</v>
      </c>
      <c r="R55" s="392">
        <f t="shared" si="16"/>
        <v>0</v>
      </c>
      <c r="S55" s="392">
        <f t="shared" si="16"/>
        <v>0</v>
      </c>
      <c r="U55" s="392">
        <f t="shared" si="17"/>
        <v>0</v>
      </c>
      <c r="V55" s="392">
        <f t="shared" si="17"/>
        <v>0</v>
      </c>
      <c r="W55" s="392">
        <f t="shared" si="17"/>
        <v>1592432.1300000001</v>
      </c>
      <c r="X55" s="392">
        <f t="shared" si="17"/>
        <v>0</v>
      </c>
      <c r="Y55" s="392">
        <f t="shared" si="17"/>
        <v>0</v>
      </c>
      <c r="AA55" s="392">
        <f t="shared" si="18"/>
        <v>0</v>
      </c>
      <c r="AB55" s="392">
        <f t="shared" si="18"/>
        <v>0</v>
      </c>
      <c r="AC55" s="392">
        <f t="shared" si="18"/>
        <v>56872.58</v>
      </c>
      <c r="AD55" s="392">
        <f t="shared" si="18"/>
        <v>0</v>
      </c>
      <c r="AE55" s="392">
        <f t="shared" si="18"/>
        <v>0</v>
      </c>
      <c r="AG55" s="409">
        <f t="shared" si="15"/>
        <v>0</v>
      </c>
      <c r="AH55" s="409">
        <f t="shared" si="15"/>
        <v>0</v>
      </c>
      <c r="AI55" s="409">
        <f t="shared" si="15"/>
        <v>1</v>
      </c>
      <c r="AJ55" s="409">
        <f t="shared" si="15"/>
        <v>0</v>
      </c>
      <c r="AK55" s="409">
        <f t="shared" si="15"/>
        <v>0</v>
      </c>
      <c r="AN55" s="391">
        <v>1706177.25</v>
      </c>
      <c r="AO55" s="423">
        <f t="shared" si="4"/>
        <v>0</v>
      </c>
    </row>
    <row r="56" spans="1:41">
      <c r="A56" s="391" t="s">
        <v>646</v>
      </c>
      <c r="B56" s="408">
        <v>32509</v>
      </c>
      <c r="C56" s="391" t="s">
        <v>647</v>
      </c>
      <c r="D56" s="391" t="s">
        <v>648</v>
      </c>
      <c r="E56" s="391" t="s">
        <v>539</v>
      </c>
      <c r="F56" s="391" t="s">
        <v>540</v>
      </c>
      <c r="G56" s="391">
        <v>10</v>
      </c>
      <c r="H56" s="392">
        <v>1275</v>
      </c>
      <c r="I56" s="392">
        <v>1275</v>
      </c>
      <c r="J56" s="392">
        <v>0</v>
      </c>
      <c r="K56" s="391" t="s">
        <v>515</v>
      </c>
      <c r="L56" s="391" t="s">
        <v>515</v>
      </c>
      <c r="O56" s="392">
        <f t="shared" si="16"/>
        <v>0</v>
      </c>
      <c r="P56" s="392">
        <f t="shared" si="16"/>
        <v>0</v>
      </c>
      <c r="Q56" s="392">
        <f t="shared" si="16"/>
        <v>0</v>
      </c>
      <c r="R56" s="392">
        <f t="shared" si="16"/>
        <v>1275</v>
      </c>
      <c r="S56" s="392">
        <f t="shared" si="16"/>
        <v>0</v>
      </c>
      <c r="U56" s="392">
        <f t="shared" si="17"/>
        <v>0</v>
      </c>
      <c r="V56" s="392">
        <f t="shared" si="17"/>
        <v>0</v>
      </c>
      <c r="W56" s="392">
        <f t="shared" si="17"/>
        <v>0</v>
      </c>
      <c r="X56" s="392">
        <f t="shared" si="17"/>
        <v>1275</v>
      </c>
      <c r="Y56" s="392">
        <f t="shared" si="17"/>
        <v>0</v>
      </c>
      <c r="AA56" s="392">
        <f t="shared" si="18"/>
        <v>0</v>
      </c>
      <c r="AB56" s="392">
        <f t="shared" si="18"/>
        <v>0</v>
      </c>
      <c r="AC56" s="392">
        <f t="shared" si="18"/>
        <v>0</v>
      </c>
      <c r="AD56" s="392">
        <f t="shared" si="18"/>
        <v>0</v>
      </c>
      <c r="AE56" s="392">
        <f t="shared" si="18"/>
        <v>0</v>
      </c>
      <c r="AG56" s="409">
        <f t="shared" si="15"/>
        <v>0</v>
      </c>
      <c r="AH56" s="409">
        <f t="shared" si="15"/>
        <v>0</v>
      </c>
      <c r="AI56" s="409">
        <f t="shared" si="15"/>
        <v>0</v>
      </c>
      <c r="AJ56" s="409">
        <f t="shared" si="15"/>
        <v>1</v>
      </c>
      <c r="AK56" s="409">
        <f t="shared" si="15"/>
        <v>0</v>
      </c>
      <c r="AN56" s="391">
        <v>1275</v>
      </c>
      <c r="AO56" s="423">
        <f t="shared" si="4"/>
        <v>0</v>
      </c>
    </row>
    <row r="57" spans="1:41">
      <c r="A57" s="391" t="s">
        <v>567</v>
      </c>
      <c r="B57" s="408">
        <v>32628</v>
      </c>
      <c r="C57" s="391" t="s">
        <v>649</v>
      </c>
      <c r="D57" s="391" t="s">
        <v>650</v>
      </c>
      <c r="E57" s="391" t="s">
        <v>539</v>
      </c>
      <c r="F57" s="391" t="s">
        <v>540</v>
      </c>
      <c r="G57" s="391">
        <v>30</v>
      </c>
      <c r="H57" s="392">
        <v>23373.78</v>
      </c>
      <c r="I57" s="392">
        <v>21016.350000000002</v>
      </c>
      <c r="J57" s="392">
        <v>779.13</v>
      </c>
      <c r="K57" s="391" t="s">
        <v>505</v>
      </c>
      <c r="L57" s="391" t="s">
        <v>505</v>
      </c>
      <c r="O57" s="392">
        <f t="shared" ref="O57:S64" si="19">IF(O$8=$K57,$H57,0)</f>
        <v>0</v>
      </c>
      <c r="P57" s="392">
        <f t="shared" si="19"/>
        <v>0</v>
      </c>
      <c r="Q57" s="392">
        <f t="shared" si="19"/>
        <v>23373.78</v>
      </c>
      <c r="R57" s="392">
        <f t="shared" si="19"/>
        <v>0</v>
      </c>
      <c r="S57" s="392">
        <f t="shared" si="19"/>
        <v>0</v>
      </c>
      <c r="U57" s="392">
        <f t="shared" si="17"/>
        <v>0</v>
      </c>
      <c r="V57" s="392">
        <f t="shared" si="17"/>
        <v>0</v>
      </c>
      <c r="W57" s="392">
        <f t="shared" si="17"/>
        <v>21016.350000000002</v>
      </c>
      <c r="X57" s="392">
        <f t="shared" si="17"/>
        <v>0</v>
      </c>
      <c r="Y57" s="392">
        <f t="shared" si="17"/>
        <v>0</v>
      </c>
      <c r="AA57" s="392">
        <f t="shared" si="18"/>
        <v>0</v>
      </c>
      <c r="AB57" s="392">
        <f t="shared" si="18"/>
        <v>0</v>
      </c>
      <c r="AC57" s="392">
        <f t="shared" si="18"/>
        <v>779.13</v>
      </c>
      <c r="AD57" s="392">
        <f t="shared" si="18"/>
        <v>0</v>
      </c>
      <c r="AE57" s="392">
        <f t="shared" si="18"/>
        <v>0</v>
      </c>
      <c r="AG57" s="409">
        <f t="shared" si="15"/>
        <v>0</v>
      </c>
      <c r="AH57" s="409">
        <f t="shared" si="15"/>
        <v>0</v>
      </c>
      <c r="AI57" s="409">
        <f t="shared" si="15"/>
        <v>1</v>
      </c>
      <c r="AJ57" s="409">
        <f t="shared" si="15"/>
        <v>0</v>
      </c>
      <c r="AK57" s="409">
        <f t="shared" si="15"/>
        <v>0</v>
      </c>
      <c r="AN57" s="391">
        <v>23373.78</v>
      </c>
      <c r="AO57" s="423">
        <f t="shared" si="4"/>
        <v>0</v>
      </c>
    </row>
    <row r="58" spans="1:41">
      <c r="A58" s="391" t="s">
        <v>616</v>
      </c>
      <c r="B58" s="408">
        <v>32628</v>
      </c>
      <c r="C58" s="391" t="s">
        <v>651</v>
      </c>
      <c r="D58" s="391" t="s">
        <v>652</v>
      </c>
      <c r="E58" s="391" t="s">
        <v>539</v>
      </c>
      <c r="F58" s="391" t="s">
        <v>540</v>
      </c>
      <c r="G58" s="391">
        <v>25</v>
      </c>
      <c r="H58" s="392">
        <v>13651.19</v>
      </c>
      <c r="I58" s="392">
        <v>13651.19</v>
      </c>
      <c r="J58" s="392">
        <v>0</v>
      </c>
      <c r="K58" s="391" t="s">
        <v>505</v>
      </c>
      <c r="L58" s="391" t="s">
        <v>505</v>
      </c>
      <c r="O58" s="392">
        <f t="shared" si="19"/>
        <v>0</v>
      </c>
      <c r="P58" s="392">
        <f t="shared" si="19"/>
        <v>0</v>
      </c>
      <c r="Q58" s="392">
        <f t="shared" si="19"/>
        <v>13651.19</v>
      </c>
      <c r="R58" s="392">
        <f t="shared" si="19"/>
        <v>0</v>
      </c>
      <c r="S58" s="392">
        <f t="shared" si="19"/>
        <v>0</v>
      </c>
      <c r="U58" s="392">
        <f t="shared" si="17"/>
        <v>0</v>
      </c>
      <c r="V58" s="392">
        <f t="shared" si="17"/>
        <v>0</v>
      </c>
      <c r="W58" s="392">
        <f t="shared" si="17"/>
        <v>13651.19</v>
      </c>
      <c r="X58" s="392">
        <f t="shared" si="17"/>
        <v>0</v>
      </c>
      <c r="Y58" s="392">
        <f t="shared" si="17"/>
        <v>0</v>
      </c>
      <c r="AA58" s="392">
        <f t="shared" si="18"/>
        <v>0</v>
      </c>
      <c r="AB58" s="392">
        <f t="shared" si="18"/>
        <v>0</v>
      </c>
      <c r="AC58" s="392">
        <f t="shared" si="18"/>
        <v>0</v>
      </c>
      <c r="AD58" s="392">
        <f t="shared" si="18"/>
        <v>0</v>
      </c>
      <c r="AE58" s="392">
        <f t="shared" si="18"/>
        <v>0</v>
      </c>
      <c r="AG58" s="409">
        <f t="shared" si="15"/>
        <v>0</v>
      </c>
      <c r="AH58" s="409">
        <f t="shared" si="15"/>
        <v>0</v>
      </c>
      <c r="AI58" s="409">
        <f t="shared" si="15"/>
        <v>1</v>
      </c>
      <c r="AJ58" s="409">
        <f t="shared" si="15"/>
        <v>0</v>
      </c>
      <c r="AK58" s="409">
        <f t="shared" si="15"/>
        <v>0</v>
      </c>
      <c r="AN58" s="391">
        <v>13651.19</v>
      </c>
      <c r="AO58" s="423">
        <f t="shared" si="4"/>
        <v>0</v>
      </c>
    </row>
    <row r="59" spans="1:41">
      <c r="A59" s="391" t="s">
        <v>592</v>
      </c>
      <c r="B59" s="408">
        <v>32628</v>
      </c>
      <c r="C59" s="391" t="s">
        <v>653</v>
      </c>
      <c r="D59" s="391" t="s">
        <v>654</v>
      </c>
      <c r="E59" s="391" t="s">
        <v>539</v>
      </c>
      <c r="F59" s="391" t="s">
        <v>540</v>
      </c>
      <c r="G59" s="391">
        <v>30</v>
      </c>
      <c r="H59" s="392">
        <v>5012.0200000000004</v>
      </c>
      <c r="I59" s="392">
        <v>4509.8899999999994</v>
      </c>
      <c r="J59" s="392">
        <v>167.07</v>
      </c>
      <c r="K59" s="391" t="s">
        <v>505</v>
      </c>
      <c r="L59" s="391" t="s">
        <v>505</v>
      </c>
      <c r="O59" s="392">
        <f t="shared" si="19"/>
        <v>0</v>
      </c>
      <c r="P59" s="392">
        <f t="shared" si="19"/>
        <v>0</v>
      </c>
      <c r="Q59" s="392">
        <f t="shared" si="19"/>
        <v>5012.0200000000004</v>
      </c>
      <c r="R59" s="392">
        <f t="shared" si="19"/>
        <v>0</v>
      </c>
      <c r="S59" s="392">
        <f t="shared" si="19"/>
        <v>0</v>
      </c>
      <c r="U59" s="392">
        <f t="shared" si="17"/>
        <v>0</v>
      </c>
      <c r="V59" s="392">
        <f t="shared" si="17"/>
        <v>0</v>
      </c>
      <c r="W59" s="392">
        <f t="shared" si="17"/>
        <v>4509.8899999999994</v>
      </c>
      <c r="X59" s="392">
        <f t="shared" si="17"/>
        <v>0</v>
      </c>
      <c r="Y59" s="392">
        <f t="shared" si="17"/>
        <v>0</v>
      </c>
      <c r="AA59" s="392">
        <f t="shared" si="18"/>
        <v>0</v>
      </c>
      <c r="AB59" s="392">
        <f t="shared" si="18"/>
        <v>0</v>
      </c>
      <c r="AC59" s="392">
        <f t="shared" si="18"/>
        <v>167.07</v>
      </c>
      <c r="AD59" s="392">
        <f t="shared" si="18"/>
        <v>0</v>
      </c>
      <c r="AE59" s="392">
        <f t="shared" si="18"/>
        <v>0</v>
      </c>
      <c r="AG59" s="409">
        <f t="shared" si="15"/>
        <v>0</v>
      </c>
      <c r="AH59" s="409">
        <f t="shared" si="15"/>
        <v>0</v>
      </c>
      <c r="AI59" s="409">
        <f t="shared" si="15"/>
        <v>1</v>
      </c>
      <c r="AJ59" s="409">
        <f t="shared" si="15"/>
        <v>0</v>
      </c>
      <c r="AK59" s="409">
        <f t="shared" si="15"/>
        <v>0</v>
      </c>
      <c r="AN59" s="391">
        <v>5012.0200000000004</v>
      </c>
      <c r="AO59" s="423">
        <f t="shared" si="4"/>
        <v>0</v>
      </c>
    </row>
    <row r="60" spans="1:41">
      <c r="A60" s="391" t="s">
        <v>592</v>
      </c>
      <c r="B60" s="408">
        <v>32628</v>
      </c>
      <c r="C60" s="391" t="s">
        <v>653</v>
      </c>
      <c r="D60" s="391" t="s">
        <v>655</v>
      </c>
      <c r="E60" s="391" t="s">
        <v>539</v>
      </c>
      <c r="F60" s="391" t="s">
        <v>540</v>
      </c>
      <c r="G60" s="391">
        <v>30</v>
      </c>
      <c r="H60" s="392">
        <v>30704.97</v>
      </c>
      <c r="I60" s="392">
        <v>27610.65</v>
      </c>
      <c r="J60" s="392">
        <v>1023.5</v>
      </c>
      <c r="K60" s="391" t="s">
        <v>505</v>
      </c>
      <c r="L60" s="391" t="s">
        <v>505</v>
      </c>
      <c r="O60" s="392">
        <f t="shared" si="19"/>
        <v>0</v>
      </c>
      <c r="P60" s="392">
        <f t="shared" si="19"/>
        <v>0</v>
      </c>
      <c r="Q60" s="392">
        <f t="shared" si="19"/>
        <v>30704.97</v>
      </c>
      <c r="R60" s="392">
        <f t="shared" si="19"/>
        <v>0</v>
      </c>
      <c r="S60" s="392">
        <f t="shared" si="19"/>
        <v>0</v>
      </c>
      <c r="U60" s="392">
        <f t="shared" si="17"/>
        <v>0</v>
      </c>
      <c r="V60" s="392">
        <f t="shared" si="17"/>
        <v>0</v>
      </c>
      <c r="W60" s="392">
        <f t="shared" si="17"/>
        <v>27610.65</v>
      </c>
      <c r="X60" s="392">
        <f t="shared" si="17"/>
        <v>0</v>
      </c>
      <c r="Y60" s="392">
        <f t="shared" si="17"/>
        <v>0</v>
      </c>
      <c r="AA60" s="392">
        <f t="shared" si="18"/>
        <v>0</v>
      </c>
      <c r="AB60" s="392">
        <f t="shared" si="18"/>
        <v>0</v>
      </c>
      <c r="AC60" s="392">
        <f t="shared" si="18"/>
        <v>1023.5</v>
      </c>
      <c r="AD60" s="392">
        <f t="shared" si="18"/>
        <v>0</v>
      </c>
      <c r="AE60" s="392">
        <f t="shared" si="18"/>
        <v>0</v>
      </c>
      <c r="AG60" s="409">
        <f t="shared" si="15"/>
        <v>0</v>
      </c>
      <c r="AH60" s="409">
        <f t="shared" si="15"/>
        <v>0</v>
      </c>
      <c r="AI60" s="409">
        <f t="shared" si="15"/>
        <v>1</v>
      </c>
      <c r="AJ60" s="409">
        <f t="shared" si="15"/>
        <v>0</v>
      </c>
      <c r="AK60" s="409">
        <f t="shared" si="15"/>
        <v>0</v>
      </c>
      <c r="AN60" s="391">
        <v>30704.97</v>
      </c>
      <c r="AO60" s="423">
        <f t="shared" ref="AO60:AO121" si="20">H60-AN60</f>
        <v>0</v>
      </c>
    </row>
    <row r="61" spans="1:41">
      <c r="A61" s="391" t="s">
        <v>554</v>
      </c>
      <c r="B61" s="408">
        <v>32628</v>
      </c>
      <c r="C61" s="391" t="s">
        <v>656</v>
      </c>
      <c r="D61" s="391" t="s">
        <v>657</v>
      </c>
      <c r="E61" s="391" t="s">
        <v>539</v>
      </c>
      <c r="F61" s="391" t="s">
        <v>540</v>
      </c>
      <c r="G61" s="391">
        <v>30</v>
      </c>
      <c r="H61" s="392">
        <v>112164.85</v>
      </c>
      <c r="I61" s="392">
        <v>100860.90000000001</v>
      </c>
      <c r="J61" s="392">
        <v>3738.83</v>
      </c>
      <c r="K61" s="391" t="s">
        <v>505</v>
      </c>
      <c r="L61" s="391" t="s">
        <v>505</v>
      </c>
      <c r="O61" s="392">
        <f t="shared" si="19"/>
        <v>0</v>
      </c>
      <c r="P61" s="392">
        <f t="shared" si="19"/>
        <v>0</v>
      </c>
      <c r="Q61" s="392">
        <f t="shared" si="19"/>
        <v>112164.85</v>
      </c>
      <c r="R61" s="392">
        <f t="shared" si="19"/>
        <v>0</v>
      </c>
      <c r="S61" s="392">
        <f t="shared" si="19"/>
        <v>0</v>
      </c>
      <c r="U61" s="392">
        <f t="shared" si="17"/>
        <v>0</v>
      </c>
      <c r="V61" s="392">
        <f t="shared" si="17"/>
        <v>0</v>
      </c>
      <c r="W61" s="392">
        <f t="shared" si="17"/>
        <v>100860.90000000001</v>
      </c>
      <c r="X61" s="392">
        <f t="shared" si="17"/>
        <v>0</v>
      </c>
      <c r="Y61" s="392">
        <f t="shared" si="17"/>
        <v>0</v>
      </c>
      <c r="AA61" s="392">
        <f t="shared" si="18"/>
        <v>0</v>
      </c>
      <c r="AB61" s="392">
        <f t="shared" si="18"/>
        <v>0</v>
      </c>
      <c r="AC61" s="392">
        <f t="shared" si="18"/>
        <v>3738.83</v>
      </c>
      <c r="AD61" s="392">
        <f t="shared" si="18"/>
        <v>0</v>
      </c>
      <c r="AE61" s="392">
        <f t="shared" si="18"/>
        <v>0</v>
      </c>
      <c r="AG61" s="409">
        <f t="shared" si="15"/>
        <v>0</v>
      </c>
      <c r="AH61" s="409">
        <f t="shared" si="15"/>
        <v>0</v>
      </c>
      <c r="AI61" s="409">
        <f t="shared" si="15"/>
        <v>1</v>
      </c>
      <c r="AJ61" s="409">
        <f t="shared" si="15"/>
        <v>0</v>
      </c>
      <c r="AK61" s="409">
        <f t="shared" si="15"/>
        <v>0</v>
      </c>
      <c r="AN61" s="391">
        <v>112164.85</v>
      </c>
      <c r="AO61" s="423">
        <f t="shared" si="20"/>
        <v>0</v>
      </c>
    </row>
    <row r="62" spans="1:41">
      <c r="A62" s="391" t="s">
        <v>585</v>
      </c>
      <c r="B62" s="408">
        <v>32628</v>
      </c>
      <c r="C62" s="391" t="s">
        <v>658</v>
      </c>
      <c r="D62" s="391" t="s">
        <v>659</v>
      </c>
      <c r="E62" s="391" t="s">
        <v>539</v>
      </c>
      <c r="F62" s="391" t="s">
        <v>540</v>
      </c>
      <c r="G62" s="391">
        <v>30</v>
      </c>
      <c r="H62" s="392">
        <v>158395.72</v>
      </c>
      <c r="I62" s="392">
        <v>142390.75999999998</v>
      </c>
      <c r="J62" s="392">
        <v>5279.86</v>
      </c>
      <c r="K62" s="391" t="s">
        <v>505</v>
      </c>
      <c r="L62" s="391" t="s">
        <v>505</v>
      </c>
      <c r="O62" s="392">
        <f t="shared" si="19"/>
        <v>0</v>
      </c>
      <c r="P62" s="392">
        <f t="shared" si="19"/>
        <v>0</v>
      </c>
      <c r="Q62" s="392">
        <f t="shared" si="19"/>
        <v>158395.72</v>
      </c>
      <c r="R62" s="392">
        <f t="shared" si="19"/>
        <v>0</v>
      </c>
      <c r="S62" s="392">
        <f t="shared" si="19"/>
        <v>0</v>
      </c>
      <c r="U62" s="392">
        <f t="shared" si="17"/>
        <v>0</v>
      </c>
      <c r="V62" s="392">
        <f t="shared" si="17"/>
        <v>0</v>
      </c>
      <c r="W62" s="392">
        <f t="shared" si="17"/>
        <v>142390.75999999998</v>
      </c>
      <c r="X62" s="392">
        <f t="shared" si="17"/>
        <v>0</v>
      </c>
      <c r="Y62" s="392">
        <f t="shared" si="17"/>
        <v>0</v>
      </c>
      <c r="AA62" s="392">
        <f t="shared" si="18"/>
        <v>0</v>
      </c>
      <c r="AB62" s="392">
        <f t="shared" si="18"/>
        <v>0</v>
      </c>
      <c r="AC62" s="392">
        <f t="shared" si="18"/>
        <v>5279.86</v>
      </c>
      <c r="AD62" s="392">
        <f t="shared" si="18"/>
        <v>0</v>
      </c>
      <c r="AE62" s="392">
        <f t="shared" si="18"/>
        <v>0</v>
      </c>
      <c r="AG62" s="409">
        <f t="shared" si="15"/>
        <v>0</v>
      </c>
      <c r="AH62" s="409">
        <f t="shared" si="15"/>
        <v>0</v>
      </c>
      <c r="AI62" s="409">
        <f t="shared" si="15"/>
        <v>1</v>
      </c>
      <c r="AJ62" s="409">
        <f t="shared" si="15"/>
        <v>0</v>
      </c>
      <c r="AK62" s="409">
        <f t="shared" si="15"/>
        <v>0</v>
      </c>
      <c r="AN62" s="391">
        <v>158395.72</v>
      </c>
      <c r="AO62" s="423">
        <f t="shared" si="20"/>
        <v>0</v>
      </c>
    </row>
    <row r="63" spans="1:41">
      <c r="A63" s="391" t="s">
        <v>660</v>
      </c>
      <c r="B63" s="408">
        <v>32628</v>
      </c>
      <c r="C63" s="391" t="s">
        <v>661</v>
      </c>
      <c r="D63" s="391" t="s">
        <v>662</v>
      </c>
      <c r="E63" s="391" t="s">
        <v>539</v>
      </c>
      <c r="F63" s="391" t="s">
        <v>540</v>
      </c>
      <c r="G63" s="391">
        <v>30</v>
      </c>
      <c r="H63" s="392">
        <v>6070224.8499999996</v>
      </c>
      <c r="I63" s="392">
        <v>5463202.3700000001</v>
      </c>
      <c r="J63" s="392">
        <v>202340.83</v>
      </c>
      <c r="K63" s="391" t="s">
        <v>45</v>
      </c>
      <c r="L63" s="391" t="s">
        <v>45</v>
      </c>
      <c r="M63" s="391" t="s">
        <v>663</v>
      </c>
      <c r="O63" s="392">
        <f t="shared" si="19"/>
        <v>0</v>
      </c>
      <c r="P63" s="392">
        <f t="shared" si="19"/>
        <v>6070224.8499999996</v>
      </c>
      <c r="Q63" s="392">
        <f t="shared" si="19"/>
        <v>0</v>
      </c>
      <c r="R63" s="392">
        <f t="shared" si="19"/>
        <v>0</v>
      </c>
      <c r="S63" s="392">
        <f t="shared" si="19"/>
        <v>0</v>
      </c>
      <c r="U63" s="392">
        <f t="shared" si="17"/>
        <v>0</v>
      </c>
      <c r="V63" s="392">
        <f t="shared" si="17"/>
        <v>5463202.3700000001</v>
      </c>
      <c r="W63" s="392">
        <f t="shared" si="17"/>
        <v>0</v>
      </c>
      <c r="X63" s="392">
        <f t="shared" si="17"/>
        <v>0</v>
      </c>
      <c r="Y63" s="392">
        <f t="shared" si="17"/>
        <v>0</v>
      </c>
      <c r="AA63" s="392">
        <f t="shared" si="18"/>
        <v>0</v>
      </c>
      <c r="AB63" s="392">
        <f t="shared" si="18"/>
        <v>202340.83</v>
      </c>
      <c r="AC63" s="392">
        <f t="shared" si="18"/>
        <v>0</v>
      </c>
      <c r="AD63" s="392">
        <f t="shared" si="18"/>
        <v>0</v>
      </c>
      <c r="AE63" s="392">
        <f t="shared" si="18"/>
        <v>0</v>
      </c>
      <c r="AG63" s="409">
        <f t="shared" si="15"/>
        <v>0</v>
      </c>
      <c r="AH63" s="409">
        <f t="shared" si="15"/>
        <v>1</v>
      </c>
      <c r="AI63" s="409">
        <f t="shared" si="15"/>
        <v>0</v>
      </c>
      <c r="AJ63" s="409">
        <f t="shared" si="15"/>
        <v>0</v>
      </c>
      <c r="AK63" s="409">
        <f t="shared" si="15"/>
        <v>0</v>
      </c>
      <c r="AN63" s="391">
        <v>6070224.8499999996</v>
      </c>
      <c r="AO63" s="423">
        <f t="shared" si="20"/>
        <v>0</v>
      </c>
    </row>
    <row r="64" spans="1:41">
      <c r="A64" s="391" t="s">
        <v>646</v>
      </c>
      <c r="B64" s="408">
        <v>32628</v>
      </c>
      <c r="C64" s="391" t="s">
        <v>664</v>
      </c>
      <c r="D64" s="391" t="s">
        <v>665</v>
      </c>
      <c r="E64" s="391" t="s">
        <v>539</v>
      </c>
      <c r="F64" s="391" t="s">
        <v>540</v>
      </c>
      <c r="G64" s="391">
        <v>5</v>
      </c>
      <c r="H64" s="392">
        <v>0</v>
      </c>
      <c r="I64" s="392">
        <v>0</v>
      </c>
      <c r="J64" s="392">
        <v>0</v>
      </c>
      <c r="K64" s="391" t="s">
        <v>515</v>
      </c>
      <c r="L64" s="391" t="s">
        <v>515</v>
      </c>
      <c r="O64" s="392">
        <f t="shared" si="19"/>
        <v>0</v>
      </c>
      <c r="P64" s="392">
        <f t="shared" si="19"/>
        <v>0</v>
      </c>
      <c r="Q64" s="392">
        <f t="shared" si="19"/>
        <v>0</v>
      </c>
      <c r="R64" s="392">
        <f t="shared" si="19"/>
        <v>0</v>
      </c>
      <c r="S64" s="392">
        <f t="shared" si="19"/>
        <v>0</v>
      </c>
      <c r="U64" s="392">
        <f t="shared" si="17"/>
        <v>0</v>
      </c>
      <c r="V64" s="392">
        <f t="shared" si="17"/>
        <v>0</v>
      </c>
      <c r="W64" s="392">
        <f t="shared" si="17"/>
        <v>0</v>
      </c>
      <c r="X64" s="392">
        <f t="shared" si="17"/>
        <v>0</v>
      </c>
      <c r="Y64" s="392">
        <f t="shared" si="17"/>
        <v>0</v>
      </c>
      <c r="AA64" s="392">
        <f t="shared" si="18"/>
        <v>0</v>
      </c>
      <c r="AB64" s="392">
        <f t="shared" si="18"/>
        <v>0</v>
      </c>
      <c r="AC64" s="392">
        <f t="shared" si="18"/>
        <v>0</v>
      </c>
      <c r="AD64" s="392">
        <f t="shared" si="18"/>
        <v>0</v>
      </c>
      <c r="AE64" s="392">
        <f t="shared" si="18"/>
        <v>0</v>
      </c>
      <c r="AG64" s="409">
        <f t="shared" si="15"/>
        <v>0</v>
      </c>
      <c r="AH64" s="409">
        <f t="shared" si="15"/>
        <v>0</v>
      </c>
      <c r="AI64" s="409">
        <f t="shared" si="15"/>
        <v>0</v>
      </c>
      <c r="AJ64" s="409">
        <f t="shared" si="15"/>
        <v>0</v>
      </c>
      <c r="AK64" s="409">
        <f t="shared" si="15"/>
        <v>0</v>
      </c>
      <c r="AN64" s="391">
        <v>0</v>
      </c>
      <c r="AO64" s="423">
        <f t="shared" si="20"/>
        <v>0</v>
      </c>
    </row>
    <row r="65" spans="1:41">
      <c r="A65" s="391" t="s">
        <v>616</v>
      </c>
      <c r="B65" s="408">
        <v>32993</v>
      </c>
      <c r="C65" s="391" t="s">
        <v>666</v>
      </c>
      <c r="D65" s="391" t="s">
        <v>667</v>
      </c>
      <c r="E65" s="391" t="s">
        <v>539</v>
      </c>
      <c r="F65" s="391" t="s">
        <v>540</v>
      </c>
      <c r="G65" s="391">
        <v>25</v>
      </c>
      <c r="H65" s="392">
        <v>33038.44</v>
      </c>
      <c r="I65" s="392">
        <v>33038.44</v>
      </c>
      <c r="J65" s="392">
        <v>0</v>
      </c>
      <c r="K65" s="391" t="s">
        <v>505</v>
      </c>
      <c r="L65" s="391" t="s">
        <v>505</v>
      </c>
      <c r="O65" s="392">
        <f t="shared" ref="O65:S74" si="21">IF(O$8=$K65,$H65,0)</f>
        <v>0</v>
      </c>
      <c r="P65" s="392">
        <f t="shared" si="21"/>
        <v>0</v>
      </c>
      <c r="Q65" s="392">
        <f t="shared" si="21"/>
        <v>33038.44</v>
      </c>
      <c r="R65" s="392">
        <f t="shared" si="21"/>
        <v>0</v>
      </c>
      <c r="S65" s="392">
        <f t="shared" si="21"/>
        <v>0</v>
      </c>
      <c r="U65" s="392">
        <f t="shared" si="17"/>
        <v>0</v>
      </c>
      <c r="V65" s="392">
        <f t="shared" si="17"/>
        <v>0</v>
      </c>
      <c r="W65" s="392">
        <f t="shared" si="17"/>
        <v>33038.44</v>
      </c>
      <c r="X65" s="392">
        <f t="shared" si="17"/>
        <v>0</v>
      </c>
      <c r="Y65" s="392">
        <f t="shared" si="17"/>
        <v>0</v>
      </c>
      <c r="AA65" s="392">
        <f t="shared" si="18"/>
        <v>0</v>
      </c>
      <c r="AB65" s="392">
        <f t="shared" si="18"/>
        <v>0</v>
      </c>
      <c r="AC65" s="392">
        <f t="shared" si="18"/>
        <v>0</v>
      </c>
      <c r="AD65" s="392">
        <f t="shared" si="18"/>
        <v>0</v>
      </c>
      <c r="AE65" s="392">
        <f t="shared" si="18"/>
        <v>0</v>
      </c>
      <c r="AG65" s="409">
        <f t="shared" si="15"/>
        <v>0</v>
      </c>
      <c r="AH65" s="409">
        <f t="shared" si="15"/>
        <v>0</v>
      </c>
      <c r="AI65" s="409">
        <f t="shared" si="15"/>
        <v>1</v>
      </c>
      <c r="AJ65" s="409">
        <f t="shared" si="15"/>
        <v>0</v>
      </c>
      <c r="AK65" s="409">
        <f t="shared" si="15"/>
        <v>0</v>
      </c>
      <c r="AN65" s="391">
        <v>33038.44</v>
      </c>
      <c r="AO65" s="423">
        <f t="shared" si="20"/>
        <v>0</v>
      </c>
    </row>
    <row r="66" spans="1:41">
      <c r="A66" s="391" t="s">
        <v>585</v>
      </c>
      <c r="B66" s="408">
        <v>32993</v>
      </c>
      <c r="C66" s="391" t="s">
        <v>668</v>
      </c>
      <c r="D66" s="391" t="s">
        <v>669</v>
      </c>
      <c r="E66" s="391" t="s">
        <v>539</v>
      </c>
      <c r="F66" s="391" t="s">
        <v>540</v>
      </c>
      <c r="G66" s="391">
        <v>30</v>
      </c>
      <c r="H66" s="392">
        <v>6423.88</v>
      </c>
      <c r="I66" s="392">
        <v>5565.6900000000005</v>
      </c>
      <c r="J66" s="392">
        <v>214.13</v>
      </c>
      <c r="K66" s="391" t="s">
        <v>505</v>
      </c>
      <c r="L66" s="391" t="s">
        <v>505</v>
      </c>
      <c r="O66" s="392">
        <f t="shared" si="21"/>
        <v>0</v>
      </c>
      <c r="P66" s="392">
        <f t="shared" si="21"/>
        <v>0</v>
      </c>
      <c r="Q66" s="392">
        <f t="shared" si="21"/>
        <v>6423.88</v>
      </c>
      <c r="R66" s="392">
        <f t="shared" si="21"/>
        <v>0</v>
      </c>
      <c r="S66" s="392">
        <f t="shared" si="21"/>
        <v>0</v>
      </c>
      <c r="U66" s="392">
        <f t="shared" si="17"/>
        <v>0</v>
      </c>
      <c r="V66" s="392">
        <f t="shared" si="17"/>
        <v>0</v>
      </c>
      <c r="W66" s="392">
        <f t="shared" si="17"/>
        <v>5565.6900000000005</v>
      </c>
      <c r="X66" s="392">
        <f t="shared" si="17"/>
        <v>0</v>
      </c>
      <c r="Y66" s="392">
        <f t="shared" si="17"/>
        <v>0</v>
      </c>
      <c r="AA66" s="392">
        <f t="shared" si="18"/>
        <v>0</v>
      </c>
      <c r="AB66" s="392">
        <f t="shared" si="18"/>
        <v>0</v>
      </c>
      <c r="AC66" s="392">
        <f t="shared" si="18"/>
        <v>214.13</v>
      </c>
      <c r="AD66" s="392">
        <f t="shared" si="18"/>
        <v>0</v>
      </c>
      <c r="AE66" s="392">
        <f t="shared" si="18"/>
        <v>0</v>
      </c>
      <c r="AG66" s="409">
        <f t="shared" si="15"/>
        <v>0</v>
      </c>
      <c r="AH66" s="409">
        <f t="shared" si="15"/>
        <v>0</v>
      </c>
      <c r="AI66" s="409">
        <f t="shared" si="15"/>
        <v>1</v>
      </c>
      <c r="AJ66" s="409">
        <f t="shared" si="15"/>
        <v>0</v>
      </c>
      <c r="AK66" s="409">
        <f t="shared" si="15"/>
        <v>0</v>
      </c>
      <c r="AN66" s="391">
        <v>6423.88</v>
      </c>
      <c r="AO66" s="423">
        <f t="shared" si="20"/>
        <v>0</v>
      </c>
    </row>
    <row r="67" spans="1:41">
      <c r="A67" s="391" t="s">
        <v>572</v>
      </c>
      <c r="B67" s="408">
        <v>32993</v>
      </c>
      <c r="C67" s="391" t="s">
        <v>670</v>
      </c>
      <c r="D67" s="391" t="s">
        <v>671</v>
      </c>
      <c r="E67" s="391" t="s">
        <v>539</v>
      </c>
      <c r="F67" s="391" t="s">
        <v>540</v>
      </c>
      <c r="G67" s="391">
        <v>30</v>
      </c>
      <c r="H67" s="392">
        <v>170349.22</v>
      </c>
      <c r="I67" s="392">
        <v>147507.71</v>
      </c>
      <c r="J67" s="392">
        <v>5678.31</v>
      </c>
      <c r="K67" s="391" t="s">
        <v>505</v>
      </c>
      <c r="L67" s="391" t="s">
        <v>505</v>
      </c>
      <c r="O67" s="392">
        <f t="shared" si="21"/>
        <v>0</v>
      </c>
      <c r="P67" s="392">
        <f t="shared" si="21"/>
        <v>0</v>
      </c>
      <c r="Q67" s="392">
        <f t="shared" si="21"/>
        <v>170349.22</v>
      </c>
      <c r="R67" s="392">
        <f t="shared" si="21"/>
        <v>0</v>
      </c>
      <c r="S67" s="392">
        <f t="shared" si="21"/>
        <v>0</v>
      </c>
      <c r="U67" s="392">
        <f t="shared" si="17"/>
        <v>0</v>
      </c>
      <c r="V67" s="392">
        <f t="shared" si="17"/>
        <v>0</v>
      </c>
      <c r="W67" s="392">
        <f t="shared" si="17"/>
        <v>147507.71</v>
      </c>
      <c r="X67" s="392">
        <f t="shared" si="17"/>
        <v>0</v>
      </c>
      <c r="Y67" s="392">
        <f t="shared" si="17"/>
        <v>0</v>
      </c>
      <c r="AA67" s="392">
        <f t="shared" si="18"/>
        <v>0</v>
      </c>
      <c r="AB67" s="392">
        <f t="shared" si="18"/>
        <v>0</v>
      </c>
      <c r="AC67" s="392">
        <f t="shared" si="18"/>
        <v>5678.31</v>
      </c>
      <c r="AD67" s="392">
        <f t="shared" si="18"/>
        <v>0</v>
      </c>
      <c r="AE67" s="392">
        <f t="shared" si="18"/>
        <v>0</v>
      </c>
      <c r="AG67" s="409">
        <f t="shared" ref="AG67:AK95" si="22">IF($H67=0,0,O67/$H67)</f>
        <v>0</v>
      </c>
      <c r="AH67" s="409">
        <f t="shared" si="22"/>
        <v>0</v>
      </c>
      <c r="AI67" s="409">
        <f t="shared" si="22"/>
        <v>1</v>
      </c>
      <c r="AJ67" s="409">
        <f t="shared" si="22"/>
        <v>0</v>
      </c>
      <c r="AK67" s="409">
        <f t="shared" si="22"/>
        <v>0</v>
      </c>
      <c r="AN67" s="391">
        <v>170349.22</v>
      </c>
      <c r="AO67" s="423">
        <f t="shared" si="20"/>
        <v>0</v>
      </c>
    </row>
    <row r="68" spans="1:41">
      <c r="A68" s="391" t="s">
        <v>660</v>
      </c>
      <c r="B68" s="408">
        <v>32993</v>
      </c>
      <c r="C68" s="391" t="s">
        <v>661</v>
      </c>
      <c r="D68" s="391" t="s">
        <v>672</v>
      </c>
      <c r="E68" s="391" t="s">
        <v>539</v>
      </c>
      <c r="F68" s="391" t="s">
        <v>540</v>
      </c>
      <c r="G68" s="391">
        <v>30</v>
      </c>
      <c r="H68" s="392">
        <v>7162.44</v>
      </c>
      <c r="I68" s="392">
        <v>6202.05</v>
      </c>
      <c r="J68" s="392">
        <v>238.75</v>
      </c>
      <c r="K68" s="391" t="s">
        <v>45</v>
      </c>
      <c r="L68" s="391" t="s">
        <v>45</v>
      </c>
      <c r="M68" s="391" t="s">
        <v>663</v>
      </c>
      <c r="O68" s="392">
        <f t="shared" si="21"/>
        <v>0</v>
      </c>
      <c r="P68" s="392">
        <f t="shared" si="21"/>
        <v>7162.44</v>
      </c>
      <c r="Q68" s="392">
        <f t="shared" si="21"/>
        <v>0</v>
      </c>
      <c r="R68" s="392">
        <f t="shared" si="21"/>
        <v>0</v>
      </c>
      <c r="S68" s="392">
        <f t="shared" si="21"/>
        <v>0</v>
      </c>
      <c r="U68" s="392">
        <f t="shared" si="17"/>
        <v>0</v>
      </c>
      <c r="V68" s="392">
        <f t="shared" si="17"/>
        <v>6202.05</v>
      </c>
      <c r="W68" s="392">
        <f t="shared" si="17"/>
        <v>0</v>
      </c>
      <c r="X68" s="392">
        <f t="shared" si="17"/>
        <v>0</v>
      </c>
      <c r="Y68" s="392">
        <f t="shared" si="17"/>
        <v>0</v>
      </c>
      <c r="AA68" s="392">
        <f t="shared" si="18"/>
        <v>0</v>
      </c>
      <c r="AB68" s="392">
        <f t="shared" si="18"/>
        <v>238.75</v>
      </c>
      <c r="AC68" s="392">
        <f t="shared" si="18"/>
        <v>0</v>
      </c>
      <c r="AD68" s="392">
        <f t="shared" si="18"/>
        <v>0</v>
      </c>
      <c r="AE68" s="392">
        <f t="shared" si="18"/>
        <v>0</v>
      </c>
      <c r="AG68" s="409">
        <f t="shared" si="22"/>
        <v>0</v>
      </c>
      <c r="AH68" s="409">
        <f t="shared" si="22"/>
        <v>1</v>
      </c>
      <c r="AI68" s="409">
        <f t="shared" si="22"/>
        <v>0</v>
      </c>
      <c r="AJ68" s="409">
        <f t="shared" si="22"/>
        <v>0</v>
      </c>
      <c r="AK68" s="409">
        <f t="shared" si="22"/>
        <v>0</v>
      </c>
      <c r="AN68" s="391">
        <v>7162.44</v>
      </c>
      <c r="AO68" s="423">
        <f t="shared" si="20"/>
        <v>0</v>
      </c>
    </row>
    <row r="69" spans="1:41">
      <c r="A69" s="391" t="s">
        <v>632</v>
      </c>
      <c r="B69" s="408">
        <v>33109</v>
      </c>
      <c r="C69" s="391" t="s">
        <v>673</v>
      </c>
      <c r="D69" s="391" t="s">
        <v>674</v>
      </c>
      <c r="E69" s="391" t="s">
        <v>539</v>
      </c>
      <c r="F69" s="391" t="s">
        <v>540</v>
      </c>
      <c r="G69" s="391">
        <v>8</v>
      </c>
      <c r="H69" s="392">
        <v>27677.15</v>
      </c>
      <c r="I69" s="392">
        <v>27677.15</v>
      </c>
      <c r="J69" s="392">
        <v>0</v>
      </c>
      <c r="K69" s="391" t="s">
        <v>515</v>
      </c>
      <c r="L69" s="391" t="s">
        <v>515</v>
      </c>
      <c r="O69" s="392">
        <f t="shared" si="21"/>
        <v>0</v>
      </c>
      <c r="P69" s="392">
        <f t="shared" si="21"/>
        <v>0</v>
      </c>
      <c r="Q69" s="392">
        <f t="shared" si="21"/>
        <v>0</v>
      </c>
      <c r="R69" s="392">
        <f t="shared" si="21"/>
        <v>27677.15</v>
      </c>
      <c r="S69" s="392">
        <f t="shared" si="21"/>
        <v>0</v>
      </c>
      <c r="U69" s="392">
        <f t="shared" si="17"/>
        <v>0</v>
      </c>
      <c r="V69" s="392">
        <f t="shared" si="17"/>
        <v>0</v>
      </c>
      <c r="W69" s="392">
        <f t="shared" si="17"/>
        <v>0</v>
      </c>
      <c r="X69" s="392">
        <f t="shared" si="17"/>
        <v>27677.15</v>
      </c>
      <c r="Y69" s="392">
        <f t="shared" si="17"/>
        <v>0</v>
      </c>
      <c r="AA69" s="392">
        <f t="shared" si="18"/>
        <v>0</v>
      </c>
      <c r="AB69" s="392">
        <f t="shared" si="18"/>
        <v>0</v>
      </c>
      <c r="AC69" s="392">
        <f t="shared" si="18"/>
        <v>0</v>
      </c>
      <c r="AD69" s="392">
        <f t="shared" si="18"/>
        <v>0</v>
      </c>
      <c r="AE69" s="392">
        <f t="shared" si="18"/>
        <v>0</v>
      </c>
      <c r="AG69" s="409">
        <f t="shared" si="22"/>
        <v>0</v>
      </c>
      <c r="AH69" s="409">
        <f t="shared" si="22"/>
        <v>0</v>
      </c>
      <c r="AI69" s="409">
        <f t="shared" si="22"/>
        <v>0</v>
      </c>
      <c r="AJ69" s="409">
        <f t="shared" si="22"/>
        <v>1</v>
      </c>
      <c r="AK69" s="409">
        <f t="shared" si="22"/>
        <v>0</v>
      </c>
      <c r="AN69" s="391">
        <v>27677.15</v>
      </c>
      <c r="AO69" s="423">
        <f t="shared" si="20"/>
        <v>0</v>
      </c>
    </row>
    <row r="70" spans="1:41">
      <c r="A70" s="391" t="s">
        <v>632</v>
      </c>
      <c r="B70" s="408">
        <v>33137</v>
      </c>
      <c r="C70" s="391" t="s">
        <v>675</v>
      </c>
      <c r="D70" s="391" t="s">
        <v>676</v>
      </c>
      <c r="E70" s="391" t="s">
        <v>539</v>
      </c>
      <c r="F70" s="391" t="s">
        <v>540</v>
      </c>
      <c r="G70" s="391">
        <v>5</v>
      </c>
      <c r="H70" s="392">
        <v>856.8</v>
      </c>
      <c r="I70" s="392">
        <v>856.8</v>
      </c>
      <c r="J70" s="392">
        <v>0</v>
      </c>
      <c r="K70" s="391" t="s">
        <v>515</v>
      </c>
      <c r="L70" s="391" t="s">
        <v>515</v>
      </c>
      <c r="O70" s="392">
        <f t="shared" si="21"/>
        <v>0</v>
      </c>
      <c r="P70" s="392">
        <f t="shared" si="21"/>
        <v>0</v>
      </c>
      <c r="Q70" s="392">
        <f t="shared" si="21"/>
        <v>0</v>
      </c>
      <c r="R70" s="392">
        <f t="shared" si="21"/>
        <v>856.8</v>
      </c>
      <c r="S70" s="392">
        <f t="shared" si="21"/>
        <v>0</v>
      </c>
      <c r="U70" s="392">
        <f t="shared" si="17"/>
        <v>0</v>
      </c>
      <c r="V70" s="392">
        <f t="shared" si="17"/>
        <v>0</v>
      </c>
      <c r="W70" s="392">
        <f t="shared" si="17"/>
        <v>0</v>
      </c>
      <c r="X70" s="392">
        <f t="shared" si="17"/>
        <v>856.8</v>
      </c>
      <c r="Y70" s="392">
        <f t="shared" si="17"/>
        <v>0</v>
      </c>
      <c r="AA70" s="392">
        <f t="shared" si="18"/>
        <v>0</v>
      </c>
      <c r="AB70" s="392">
        <f t="shared" si="18"/>
        <v>0</v>
      </c>
      <c r="AC70" s="392">
        <f t="shared" si="18"/>
        <v>0</v>
      </c>
      <c r="AD70" s="392">
        <f t="shared" si="18"/>
        <v>0</v>
      </c>
      <c r="AE70" s="392">
        <f t="shared" si="18"/>
        <v>0</v>
      </c>
      <c r="AG70" s="409">
        <f t="shared" si="22"/>
        <v>0</v>
      </c>
      <c r="AH70" s="409">
        <f t="shared" si="22"/>
        <v>0</v>
      </c>
      <c r="AI70" s="409">
        <f t="shared" si="22"/>
        <v>0</v>
      </c>
      <c r="AJ70" s="409">
        <f t="shared" si="22"/>
        <v>1</v>
      </c>
      <c r="AK70" s="409">
        <f t="shared" si="22"/>
        <v>0</v>
      </c>
      <c r="AN70" s="391">
        <v>856.8</v>
      </c>
      <c r="AO70" s="423">
        <f t="shared" si="20"/>
        <v>0</v>
      </c>
    </row>
    <row r="71" spans="1:41">
      <c r="A71" s="391" t="s">
        <v>632</v>
      </c>
      <c r="B71" s="408">
        <v>33137</v>
      </c>
      <c r="C71" s="391" t="s">
        <v>677</v>
      </c>
      <c r="D71" s="391" t="s">
        <v>678</v>
      </c>
      <c r="E71" s="391" t="s">
        <v>539</v>
      </c>
      <c r="F71" s="391" t="s">
        <v>540</v>
      </c>
      <c r="G71" s="391">
        <v>5</v>
      </c>
      <c r="H71" s="392">
        <v>856.8</v>
      </c>
      <c r="I71" s="392">
        <v>856.8</v>
      </c>
      <c r="J71" s="392">
        <v>0</v>
      </c>
      <c r="K71" s="391" t="s">
        <v>515</v>
      </c>
      <c r="L71" s="391" t="s">
        <v>515</v>
      </c>
      <c r="O71" s="392">
        <f t="shared" si="21"/>
        <v>0</v>
      </c>
      <c r="P71" s="392">
        <f t="shared" si="21"/>
        <v>0</v>
      </c>
      <c r="Q71" s="392">
        <f t="shared" si="21"/>
        <v>0</v>
      </c>
      <c r="R71" s="392">
        <f t="shared" si="21"/>
        <v>856.8</v>
      </c>
      <c r="S71" s="392">
        <f t="shared" si="21"/>
        <v>0</v>
      </c>
      <c r="U71" s="392">
        <f t="shared" si="17"/>
        <v>0</v>
      </c>
      <c r="V71" s="392">
        <f t="shared" si="17"/>
        <v>0</v>
      </c>
      <c r="W71" s="392">
        <f t="shared" si="17"/>
        <v>0</v>
      </c>
      <c r="X71" s="392">
        <f t="shared" si="17"/>
        <v>856.8</v>
      </c>
      <c r="Y71" s="392">
        <f t="shared" si="17"/>
        <v>0</v>
      </c>
      <c r="AA71" s="392">
        <f t="shared" si="18"/>
        <v>0</v>
      </c>
      <c r="AB71" s="392">
        <f t="shared" si="18"/>
        <v>0</v>
      </c>
      <c r="AC71" s="392">
        <f t="shared" si="18"/>
        <v>0</v>
      </c>
      <c r="AD71" s="392">
        <f t="shared" si="18"/>
        <v>0</v>
      </c>
      <c r="AE71" s="392">
        <f t="shared" si="18"/>
        <v>0</v>
      </c>
      <c r="AG71" s="409">
        <f t="shared" si="22"/>
        <v>0</v>
      </c>
      <c r="AH71" s="409">
        <f t="shared" si="22"/>
        <v>0</v>
      </c>
      <c r="AI71" s="409">
        <f t="shared" si="22"/>
        <v>0</v>
      </c>
      <c r="AJ71" s="409">
        <f t="shared" si="22"/>
        <v>1</v>
      </c>
      <c r="AK71" s="409">
        <f t="shared" si="22"/>
        <v>0</v>
      </c>
      <c r="AN71" s="391">
        <v>856.8</v>
      </c>
      <c r="AO71" s="423">
        <f t="shared" si="20"/>
        <v>0</v>
      </c>
    </row>
    <row r="72" spans="1:41">
      <c r="A72" s="391" t="s">
        <v>632</v>
      </c>
      <c r="B72" s="408">
        <v>33235</v>
      </c>
      <c r="C72" s="391" t="s">
        <v>679</v>
      </c>
      <c r="D72" s="391" t="s">
        <v>680</v>
      </c>
      <c r="E72" s="391" t="s">
        <v>539</v>
      </c>
      <c r="F72" s="391" t="s">
        <v>540</v>
      </c>
      <c r="G72" s="391">
        <v>5</v>
      </c>
      <c r="H72" s="392">
        <v>485.78</v>
      </c>
      <c r="I72" s="392">
        <v>485.78</v>
      </c>
      <c r="J72" s="392">
        <v>0</v>
      </c>
      <c r="K72" s="391" t="s">
        <v>515</v>
      </c>
      <c r="L72" s="391" t="s">
        <v>515</v>
      </c>
      <c r="O72" s="392">
        <f t="shared" si="21"/>
        <v>0</v>
      </c>
      <c r="P72" s="392">
        <f t="shared" si="21"/>
        <v>0</v>
      </c>
      <c r="Q72" s="392">
        <f t="shared" si="21"/>
        <v>0</v>
      </c>
      <c r="R72" s="392">
        <f t="shared" si="21"/>
        <v>485.78</v>
      </c>
      <c r="S72" s="392">
        <f t="shared" si="21"/>
        <v>0</v>
      </c>
      <c r="U72" s="392">
        <f t="shared" si="17"/>
        <v>0</v>
      </c>
      <c r="V72" s="392">
        <f t="shared" si="17"/>
        <v>0</v>
      </c>
      <c r="W72" s="392">
        <f t="shared" si="17"/>
        <v>0</v>
      </c>
      <c r="X72" s="392">
        <f t="shared" si="17"/>
        <v>485.78</v>
      </c>
      <c r="Y72" s="392">
        <f t="shared" si="17"/>
        <v>0</v>
      </c>
      <c r="AA72" s="392">
        <f t="shared" si="18"/>
        <v>0</v>
      </c>
      <c r="AB72" s="392">
        <f t="shared" si="18"/>
        <v>0</v>
      </c>
      <c r="AC72" s="392">
        <f t="shared" si="18"/>
        <v>0</v>
      </c>
      <c r="AD72" s="392">
        <f t="shared" si="18"/>
        <v>0</v>
      </c>
      <c r="AE72" s="392">
        <f t="shared" si="18"/>
        <v>0</v>
      </c>
      <c r="AG72" s="409">
        <f t="shared" si="22"/>
        <v>0</v>
      </c>
      <c r="AH72" s="409">
        <f t="shared" si="22"/>
        <v>0</v>
      </c>
      <c r="AI72" s="409">
        <f t="shared" si="22"/>
        <v>0</v>
      </c>
      <c r="AJ72" s="409">
        <f t="shared" si="22"/>
        <v>1</v>
      </c>
      <c r="AK72" s="409">
        <f t="shared" si="22"/>
        <v>0</v>
      </c>
      <c r="AN72" s="391">
        <v>485.78</v>
      </c>
      <c r="AO72" s="423">
        <f t="shared" si="20"/>
        <v>0</v>
      </c>
    </row>
    <row r="73" spans="1:41">
      <c r="A73" s="391" t="s">
        <v>632</v>
      </c>
      <c r="B73" s="408">
        <v>33235</v>
      </c>
      <c r="C73" s="391" t="s">
        <v>679</v>
      </c>
      <c r="D73" s="391" t="s">
        <v>681</v>
      </c>
      <c r="E73" s="391" t="s">
        <v>539</v>
      </c>
      <c r="F73" s="391" t="s">
        <v>540</v>
      </c>
      <c r="G73" s="391">
        <v>5</v>
      </c>
      <c r="H73" s="392">
        <v>485.78</v>
      </c>
      <c r="I73" s="392">
        <v>485.78</v>
      </c>
      <c r="J73" s="392">
        <v>0</v>
      </c>
      <c r="K73" s="391" t="s">
        <v>515</v>
      </c>
      <c r="L73" s="391" t="s">
        <v>515</v>
      </c>
      <c r="O73" s="392">
        <f t="shared" si="21"/>
        <v>0</v>
      </c>
      <c r="P73" s="392">
        <f t="shared" si="21"/>
        <v>0</v>
      </c>
      <c r="Q73" s="392">
        <f t="shared" si="21"/>
        <v>0</v>
      </c>
      <c r="R73" s="392">
        <f t="shared" si="21"/>
        <v>485.78</v>
      </c>
      <c r="S73" s="392">
        <f t="shared" si="21"/>
        <v>0</v>
      </c>
      <c r="U73" s="392">
        <f t="shared" si="17"/>
        <v>0</v>
      </c>
      <c r="V73" s="392">
        <f t="shared" si="17"/>
        <v>0</v>
      </c>
      <c r="W73" s="392">
        <f t="shared" si="17"/>
        <v>0</v>
      </c>
      <c r="X73" s="392">
        <f t="shared" si="17"/>
        <v>485.78</v>
      </c>
      <c r="Y73" s="392">
        <f t="shared" si="17"/>
        <v>0</v>
      </c>
      <c r="AA73" s="392">
        <f t="shared" si="18"/>
        <v>0</v>
      </c>
      <c r="AB73" s="392">
        <f t="shared" si="18"/>
        <v>0</v>
      </c>
      <c r="AC73" s="392">
        <f t="shared" si="18"/>
        <v>0</v>
      </c>
      <c r="AD73" s="392">
        <f t="shared" si="18"/>
        <v>0</v>
      </c>
      <c r="AE73" s="392">
        <f t="shared" si="18"/>
        <v>0</v>
      </c>
      <c r="AG73" s="409">
        <f t="shared" si="22"/>
        <v>0</v>
      </c>
      <c r="AH73" s="409">
        <f t="shared" si="22"/>
        <v>0</v>
      </c>
      <c r="AI73" s="409">
        <f t="shared" si="22"/>
        <v>0</v>
      </c>
      <c r="AJ73" s="409">
        <f t="shared" si="22"/>
        <v>1</v>
      </c>
      <c r="AK73" s="409">
        <f t="shared" si="22"/>
        <v>0</v>
      </c>
      <c r="AN73" s="391">
        <v>485.78</v>
      </c>
      <c r="AO73" s="423">
        <f t="shared" si="20"/>
        <v>0</v>
      </c>
    </row>
    <row r="74" spans="1:41">
      <c r="A74" s="391" t="s">
        <v>682</v>
      </c>
      <c r="B74" s="408">
        <v>33270</v>
      </c>
      <c r="C74" s="391" t="s">
        <v>683</v>
      </c>
      <c r="D74" s="391" t="s">
        <v>684</v>
      </c>
      <c r="E74" s="391" t="s">
        <v>539</v>
      </c>
      <c r="F74" s="391" t="s">
        <v>540</v>
      </c>
      <c r="G74" s="391">
        <v>8</v>
      </c>
      <c r="H74" s="392">
        <v>3710.76</v>
      </c>
      <c r="I74" s="392">
        <v>3710.76</v>
      </c>
      <c r="J74" s="392">
        <v>0</v>
      </c>
      <c r="K74" s="391" t="s">
        <v>515</v>
      </c>
      <c r="L74" s="391" t="s">
        <v>515</v>
      </c>
      <c r="O74" s="392">
        <f t="shared" si="21"/>
        <v>0</v>
      </c>
      <c r="P74" s="392">
        <f t="shared" si="21"/>
        <v>0</v>
      </c>
      <c r="Q74" s="392">
        <f t="shared" si="21"/>
        <v>0</v>
      </c>
      <c r="R74" s="392">
        <f t="shared" si="21"/>
        <v>3710.76</v>
      </c>
      <c r="S74" s="392">
        <f t="shared" si="21"/>
        <v>0</v>
      </c>
      <c r="U74" s="392">
        <f t="shared" si="17"/>
        <v>0</v>
      </c>
      <c r="V74" s="392">
        <f t="shared" si="17"/>
        <v>0</v>
      </c>
      <c r="W74" s="392">
        <f t="shared" si="17"/>
        <v>0</v>
      </c>
      <c r="X74" s="392">
        <f t="shared" si="17"/>
        <v>3710.76</v>
      </c>
      <c r="Y74" s="392">
        <f t="shared" si="17"/>
        <v>0</v>
      </c>
      <c r="AA74" s="392">
        <f t="shared" si="18"/>
        <v>0</v>
      </c>
      <c r="AB74" s="392">
        <f t="shared" si="18"/>
        <v>0</v>
      </c>
      <c r="AC74" s="392">
        <f t="shared" si="18"/>
        <v>0</v>
      </c>
      <c r="AD74" s="392">
        <f t="shared" si="18"/>
        <v>0</v>
      </c>
      <c r="AE74" s="392">
        <f t="shared" si="18"/>
        <v>0</v>
      </c>
      <c r="AG74" s="409">
        <f t="shared" si="22"/>
        <v>0</v>
      </c>
      <c r="AH74" s="409">
        <f t="shared" si="22"/>
        <v>0</v>
      </c>
      <c r="AI74" s="409">
        <f t="shared" si="22"/>
        <v>0</v>
      </c>
      <c r="AJ74" s="409">
        <f t="shared" si="22"/>
        <v>1</v>
      </c>
      <c r="AK74" s="409">
        <f t="shared" si="22"/>
        <v>0</v>
      </c>
      <c r="AN74" s="391">
        <v>3710.76</v>
      </c>
      <c r="AO74" s="423">
        <f t="shared" si="20"/>
        <v>0</v>
      </c>
    </row>
    <row r="75" spans="1:41">
      <c r="A75" s="391" t="s">
        <v>554</v>
      </c>
      <c r="B75" s="408">
        <v>33358</v>
      </c>
      <c r="C75" s="391" t="s">
        <v>685</v>
      </c>
      <c r="D75" s="391" t="s">
        <v>686</v>
      </c>
      <c r="E75" s="391" t="s">
        <v>539</v>
      </c>
      <c r="F75" s="391" t="s">
        <v>540</v>
      </c>
      <c r="G75" s="391">
        <v>30</v>
      </c>
      <c r="H75" s="392">
        <v>4606.33</v>
      </c>
      <c r="I75" s="392">
        <v>4606.33</v>
      </c>
      <c r="J75" s="392">
        <v>153.54</v>
      </c>
      <c r="K75" s="391" t="s">
        <v>505</v>
      </c>
      <c r="L75" s="391" t="s">
        <v>505</v>
      </c>
      <c r="O75" s="392">
        <f t="shared" ref="O75:S83" si="23">IF(O$8=$K75,$H75,0)</f>
        <v>0</v>
      </c>
      <c r="P75" s="392">
        <f t="shared" si="23"/>
        <v>0</v>
      </c>
      <c r="Q75" s="392">
        <f t="shared" si="23"/>
        <v>4606.33</v>
      </c>
      <c r="R75" s="392">
        <f t="shared" si="23"/>
        <v>0</v>
      </c>
      <c r="S75" s="392">
        <f t="shared" si="23"/>
        <v>0</v>
      </c>
      <c r="U75" s="392">
        <f t="shared" si="17"/>
        <v>0</v>
      </c>
      <c r="V75" s="392">
        <f t="shared" si="17"/>
        <v>0</v>
      </c>
      <c r="W75" s="392">
        <f t="shared" si="17"/>
        <v>4606.33</v>
      </c>
      <c r="X75" s="392">
        <f t="shared" si="17"/>
        <v>0</v>
      </c>
      <c r="Y75" s="392">
        <f t="shared" si="17"/>
        <v>0</v>
      </c>
      <c r="AA75" s="392">
        <f t="shared" si="18"/>
        <v>0</v>
      </c>
      <c r="AB75" s="392">
        <f t="shared" si="18"/>
        <v>0</v>
      </c>
      <c r="AC75" s="392">
        <f t="shared" si="18"/>
        <v>153.54</v>
      </c>
      <c r="AD75" s="392">
        <f t="shared" si="18"/>
        <v>0</v>
      </c>
      <c r="AE75" s="392">
        <f t="shared" si="18"/>
        <v>0</v>
      </c>
      <c r="AG75" s="409">
        <f t="shared" si="22"/>
        <v>0</v>
      </c>
      <c r="AH75" s="409">
        <f t="shared" si="22"/>
        <v>0</v>
      </c>
      <c r="AI75" s="409">
        <f t="shared" si="22"/>
        <v>1</v>
      </c>
      <c r="AJ75" s="409">
        <f t="shared" si="22"/>
        <v>0</v>
      </c>
      <c r="AK75" s="409">
        <f t="shared" si="22"/>
        <v>0</v>
      </c>
      <c r="AN75" s="391">
        <v>4606.33</v>
      </c>
      <c r="AO75" s="423">
        <f t="shared" si="20"/>
        <v>0</v>
      </c>
    </row>
    <row r="76" spans="1:41">
      <c r="A76" s="391" t="s">
        <v>554</v>
      </c>
      <c r="B76" s="408">
        <v>33358</v>
      </c>
      <c r="C76" s="391" t="s">
        <v>687</v>
      </c>
      <c r="D76" s="391" t="s">
        <v>688</v>
      </c>
      <c r="E76" s="391" t="s">
        <v>539</v>
      </c>
      <c r="F76" s="391" t="s">
        <v>540</v>
      </c>
      <c r="G76" s="391">
        <v>30</v>
      </c>
      <c r="H76" s="392">
        <v>97009.27</v>
      </c>
      <c r="I76" s="392">
        <v>80774.66</v>
      </c>
      <c r="J76" s="392">
        <v>3233.64</v>
      </c>
      <c r="K76" s="391" t="s">
        <v>505</v>
      </c>
      <c r="L76" s="391" t="s">
        <v>505</v>
      </c>
      <c r="O76" s="392">
        <f t="shared" si="23"/>
        <v>0</v>
      </c>
      <c r="P76" s="392">
        <f t="shared" si="23"/>
        <v>0</v>
      </c>
      <c r="Q76" s="392">
        <f t="shared" si="23"/>
        <v>97009.27</v>
      </c>
      <c r="R76" s="392">
        <f t="shared" si="23"/>
        <v>0</v>
      </c>
      <c r="S76" s="392">
        <f t="shared" si="23"/>
        <v>0</v>
      </c>
      <c r="U76" s="392">
        <f t="shared" si="17"/>
        <v>0</v>
      </c>
      <c r="V76" s="392">
        <f t="shared" si="17"/>
        <v>0</v>
      </c>
      <c r="W76" s="392">
        <f t="shared" si="17"/>
        <v>80774.66</v>
      </c>
      <c r="X76" s="392">
        <f t="shared" si="17"/>
        <v>0</v>
      </c>
      <c r="Y76" s="392">
        <f t="shared" si="17"/>
        <v>0</v>
      </c>
      <c r="AA76" s="392">
        <f t="shared" si="18"/>
        <v>0</v>
      </c>
      <c r="AB76" s="392">
        <f t="shared" si="18"/>
        <v>0</v>
      </c>
      <c r="AC76" s="392">
        <f t="shared" si="18"/>
        <v>3233.64</v>
      </c>
      <c r="AD76" s="392">
        <f t="shared" si="18"/>
        <v>0</v>
      </c>
      <c r="AE76" s="392">
        <f t="shared" si="18"/>
        <v>0</v>
      </c>
      <c r="AG76" s="409">
        <f t="shared" si="22"/>
        <v>0</v>
      </c>
      <c r="AH76" s="409">
        <f t="shared" si="22"/>
        <v>0</v>
      </c>
      <c r="AI76" s="409">
        <f t="shared" si="22"/>
        <v>1</v>
      </c>
      <c r="AJ76" s="409">
        <f t="shared" si="22"/>
        <v>0</v>
      </c>
      <c r="AK76" s="409">
        <f t="shared" si="22"/>
        <v>0</v>
      </c>
      <c r="AN76" s="391">
        <v>97009.27</v>
      </c>
      <c r="AO76" s="423">
        <f t="shared" si="20"/>
        <v>0</v>
      </c>
    </row>
    <row r="77" spans="1:41">
      <c r="A77" s="391" t="s">
        <v>554</v>
      </c>
      <c r="B77" s="408">
        <v>33358</v>
      </c>
      <c r="C77" s="391" t="s">
        <v>685</v>
      </c>
      <c r="D77" s="391" t="s">
        <v>689</v>
      </c>
      <c r="E77" s="391" t="s">
        <v>539</v>
      </c>
      <c r="F77" s="391" t="s">
        <v>540</v>
      </c>
      <c r="G77" s="391">
        <v>30</v>
      </c>
      <c r="H77" s="392">
        <v>39731.72</v>
      </c>
      <c r="I77" s="392">
        <v>33201.200000000004</v>
      </c>
      <c r="J77" s="392">
        <v>1324.39</v>
      </c>
      <c r="K77" s="391" t="s">
        <v>505</v>
      </c>
      <c r="L77" s="391" t="s">
        <v>505</v>
      </c>
      <c r="O77" s="392">
        <f t="shared" si="23"/>
        <v>0</v>
      </c>
      <c r="P77" s="392">
        <f t="shared" si="23"/>
        <v>0</v>
      </c>
      <c r="Q77" s="392">
        <f t="shared" si="23"/>
        <v>39731.72</v>
      </c>
      <c r="R77" s="392">
        <f t="shared" si="23"/>
        <v>0</v>
      </c>
      <c r="S77" s="392">
        <f t="shared" si="23"/>
        <v>0</v>
      </c>
      <c r="U77" s="392">
        <f t="shared" si="17"/>
        <v>0</v>
      </c>
      <c r="V77" s="392">
        <f t="shared" si="17"/>
        <v>0</v>
      </c>
      <c r="W77" s="392">
        <f t="shared" si="17"/>
        <v>33201.200000000004</v>
      </c>
      <c r="X77" s="392">
        <f t="shared" si="17"/>
        <v>0</v>
      </c>
      <c r="Y77" s="392">
        <f t="shared" si="17"/>
        <v>0</v>
      </c>
      <c r="AA77" s="392">
        <f t="shared" si="18"/>
        <v>0</v>
      </c>
      <c r="AB77" s="392">
        <f t="shared" si="18"/>
        <v>0</v>
      </c>
      <c r="AC77" s="392">
        <f t="shared" si="18"/>
        <v>1324.39</v>
      </c>
      <c r="AD77" s="392">
        <f t="shared" si="18"/>
        <v>0</v>
      </c>
      <c r="AE77" s="392">
        <f t="shared" si="18"/>
        <v>0</v>
      </c>
      <c r="AG77" s="409">
        <f t="shared" si="22"/>
        <v>0</v>
      </c>
      <c r="AH77" s="409">
        <f t="shared" si="22"/>
        <v>0</v>
      </c>
      <c r="AI77" s="409">
        <f t="shared" si="22"/>
        <v>1</v>
      </c>
      <c r="AJ77" s="409">
        <f t="shared" si="22"/>
        <v>0</v>
      </c>
      <c r="AK77" s="409">
        <f t="shared" si="22"/>
        <v>0</v>
      </c>
      <c r="AN77" s="391">
        <v>39731.72</v>
      </c>
      <c r="AO77" s="423">
        <f t="shared" si="20"/>
        <v>0</v>
      </c>
    </row>
    <row r="78" spans="1:41">
      <c r="A78" s="391" t="s">
        <v>660</v>
      </c>
      <c r="B78" s="408">
        <v>33358</v>
      </c>
      <c r="C78" s="391" t="s">
        <v>661</v>
      </c>
      <c r="D78" s="391" t="s">
        <v>690</v>
      </c>
      <c r="E78" s="391" t="s">
        <v>539</v>
      </c>
      <c r="F78" s="391" t="s">
        <v>540</v>
      </c>
      <c r="G78" s="391">
        <v>30</v>
      </c>
      <c r="H78" s="392">
        <v>14710.55</v>
      </c>
      <c r="I78" s="392">
        <v>12247.65</v>
      </c>
      <c r="J78" s="392">
        <v>490.35</v>
      </c>
      <c r="K78" s="391" t="s">
        <v>45</v>
      </c>
      <c r="L78" s="391" t="s">
        <v>45</v>
      </c>
      <c r="M78" s="391" t="s">
        <v>663</v>
      </c>
      <c r="O78" s="392">
        <f t="shared" si="23"/>
        <v>0</v>
      </c>
      <c r="P78" s="392">
        <f t="shared" si="23"/>
        <v>14710.55</v>
      </c>
      <c r="Q78" s="392">
        <f t="shared" si="23"/>
        <v>0</v>
      </c>
      <c r="R78" s="392">
        <f t="shared" si="23"/>
        <v>0</v>
      </c>
      <c r="S78" s="392">
        <f t="shared" si="23"/>
        <v>0</v>
      </c>
      <c r="U78" s="392">
        <f t="shared" si="17"/>
        <v>0</v>
      </c>
      <c r="V78" s="392">
        <f t="shared" si="17"/>
        <v>12247.65</v>
      </c>
      <c r="W78" s="392">
        <f t="shared" si="17"/>
        <v>0</v>
      </c>
      <c r="X78" s="392">
        <f t="shared" si="17"/>
        <v>0</v>
      </c>
      <c r="Y78" s="392">
        <f t="shared" si="17"/>
        <v>0</v>
      </c>
      <c r="AA78" s="392">
        <f t="shared" si="18"/>
        <v>0</v>
      </c>
      <c r="AB78" s="392">
        <f t="shared" si="18"/>
        <v>490.35</v>
      </c>
      <c r="AC78" s="392">
        <f t="shared" si="18"/>
        <v>0</v>
      </c>
      <c r="AD78" s="392">
        <f t="shared" si="18"/>
        <v>0</v>
      </c>
      <c r="AE78" s="392">
        <f t="shared" si="18"/>
        <v>0</v>
      </c>
      <c r="AG78" s="409">
        <f t="shared" si="22"/>
        <v>0</v>
      </c>
      <c r="AH78" s="409">
        <f t="shared" si="22"/>
        <v>1</v>
      </c>
      <c r="AI78" s="409">
        <f t="shared" si="22"/>
        <v>0</v>
      </c>
      <c r="AJ78" s="409">
        <f t="shared" si="22"/>
        <v>0</v>
      </c>
      <c r="AK78" s="409">
        <f t="shared" si="22"/>
        <v>0</v>
      </c>
      <c r="AN78" s="391">
        <v>14710.55</v>
      </c>
      <c r="AO78" s="423">
        <f t="shared" si="20"/>
        <v>0</v>
      </c>
    </row>
    <row r="79" spans="1:41">
      <c r="A79" s="391" t="s">
        <v>660</v>
      </c>
      <c r="B79" s="408">
        <v>33358</v>
      </c>
      <c r="C79" s="391" t="s">
        <v>691</v>
      </c>
      <c r="D79" s="391" t="s">
        <v>692</v>
      </c>
      <c r="E79" s="391" t="s">
        <v>539</v>
      </c>
      <c r="F79" s="391" t="s">
        <v>540</v>
      </c>
      <c r="G79" s="391">
        <v>30</v>
      </c>
      <c r="H79" s="392">
        <v>85137</v>
      </c>
      <c r="I79" s="392">
        <v>70852.7</v>
      </c>
      <c r="J79" s="392">
        <v>2837.9</v>
      </c>
      <c r="K79" s="391" t="s">
        <v>45</v>
      </c>
      <c r="L79" s="391" t="s">
        <v>45</v>
      </c>
      <c r="M79" s="391" t="s">
        <v>663</v>
      </c>
      <c r="O79" s="392">
        <f t="shared" si="23"/>
        <v>0</v>
      </c>
      <c r="P79" s="392">
        <f t="shared" si="23"/>
        <v>85137</v>
      </c>
      <c r="Q79" s="392">
        <f t="shared" si="23"/>
        <v>0</v>
      </c>
      <c r="R79" s="392">
        <f t="shared" si="23"/>
        <v>0</v>
      </c>
      <c r="S79" s="392">
        <f t="shared" si="23"/>
        <v>0</v>
      </c>
      <c r="U79" s="392">
        <f t="shared" si="17"/>
        <v>0</v>
      </c>
      <c r="V79" s="392">
        <f t="shared" si="17"/>
        <v>70852.7</v>
      </c>
      <c r="W79" s="392">
        <f t="shared" si="17"/>
        <v>0</v>
      </c>
      <c r="X79" s="392">
        <f t="shared" si="17"/>
        <v>0</v>
      </c>
      <c r="Y79" s="392">
        <f t="shared" si="17"/>
        <v>0</v>
      </c>
      <c r="AA79" s="392">
        <f t="shared" si="18"/>
        <v>0</v>
      </c>
      <c r="AB79" s="392">
        <f t="shared" si="18"/>
        <v>2837.9</v>
      </c>
      <c r="AC79" s="392">
        <f t="shared" si="18"/>
        <v>0</v>
      </c>
      <c r="AD79" s="392">
        <f t="shared" si="18"/>
        <v>0</v>
      </c>
      <c r="AE79" s="392">
        <f t="shared" si="18"/>
        <v>0</v>
      </c>
      <c r="AG79" s="409">
        <f t="shared" si="22"/>
        <v>0</v>
      </c>
      <c r="AH79" s="409">
        <f t="shared" si="22"/>
        <v>1</v>
      </c>
      <c r="AI79" s="409">
        <f t="shared" si="22"/>
        <v>0</v>
      </c>
      <c r="AJ79" s="409">
        <f t="shared" si="22"/>
        <v>0</v>
      </c>
      <c r="AK79" s="409">
        <f t="shared" si="22"/>
        <v>0</v>
      </c>
      <c r="AN79" s="391">
        <v>85137</v>
      </c>
      <c r="AO79" s="423">
        <f t="shared" si="20"/>
        <v>0</v>
      </c>
    </row>
    <row r="80" spans="1:41">
      <c r="A80" s="391" t="s">
        <v>632</v>
      </c>
      <c r="B80" s="408">
        <v>33458</v>
      </c>
      <c r="C80" s="391" t="s">
        <v>693</v>
      </c>
      <c r="D80" s="391" t="s">
        <v>694</v>
      </c>
      <c r="E80" s="391" t="s">
        <v>539</v>
      </c>
      <c r="F80" s="391" t="s">
        <v>540</v>
      </c>
      <c r="G80" s="391">
        <v>8</v>
      </c>
      <c r="H80" s="392">
        <v>529.65</v>
      </c>
      <c r="I80" s="392">
        <v>529.65</v>
      </c>
      <c r="J80" s="392">
        <v>0</v>
      </c>
      <c r="K80" s="391" t="s">
        <v>515</v>
      </c>
      <c r="L80" s="391" t="s">
        <v>515</v>
      </c>
      <c r="O80" s="392">
        <f t="shared" si="23"/>
        <v>0</v>
      </c>
      <c r="P80" s="392">
        <f t="shared" si="23"/>
        <v>0</v>
      </c>
      <c r="Q80" s="392">
        <f t="shared" si="23"/>
        <v>0</v>
      </c>
      <c r="R80" s="392">
        <f t="shared" si="23"/>
        <v>529.65</v>
      </c>
      <c r="S80" s="392">
        <f t="shared" si="23"/>
        <v>0</v>
      </c>
      <c r="U80" s="392">
        <f t="shared" si="17"/>
        <v>0</v>
      </c>
      <c r="V80" s="392">
        <f t="shared" si="17"/>
        <v>0</v>
      </c>
      <c r="W80" s="392">
        <f t="shared" si="17"/>
        <v>0</v>
      </c>
      <c r="X80" s="392">
        <f t="shared" si="17"/>
        <v>529.65</v>
      </c>
      <c r="Y80" s="392">
        <f t="shared" si="17"/>
        <v>0</v>
      </c>
      <c r="AA80" s="392">
        <f t="shared" si="18"/>
        <v>0</v>
      </c>
      <c r="AB80" s="392">
        <f t="shared" si="18"/>
        <v>0</v>
      </c>
      <c r="AC80" s="392">
        <f t="shared" si="18"/>
        <v>0</v>
      </c>
      <c r="AD80" s="392">
        <f t="shared" si="18"/>
        <v>0</v>
      </c>
      <c r="AE80" s="392">
        <f t="shared" si="18"/>
        <v>0</v>
      </c>
      <c r="AG80" s="409">
        <f t="shared" si="22"/>
        <v>0</v>
      </c>
      <c r="AH80" s="409">
        <f t="shared" si="22"/>
        <v>0</v>
      </c>
      <c r="AI80" s="409">
        <f t="shared" si="22"/>
        <v>0</v>
      </c>
      <c r="AJ80" s="409">
        <f t="shared" si="22"/>
        <v>1</v>
      </c>
      <c r="AK80" s="409">
        <f t="shared" si="22"/>
        <v>0</v>
      </c>
      <c r="AN80" s="391">
        <v>529.65</v>
      </c>
      <c r="AO80" s="423">
        <f t="shared" si="20"/>
        <v>0</v>
      </c>
    </row>
    <row r="81" spans="1:41">
      <c r="A81" s="391" t="s">
        <v>632</v>
      </c>
      <c r="B81" s="408">
        <v>33470</v>
      </c>
      <c r="C81" s="391" t="s">
        <v>695</v>
      </c>
      <c r="D81" s="391" t="s">
        <v>696</v>
      </c>
      <c r="E81" s="391" t="s">
        <v>539</v>
      </c>
      <c r="F81" s="391" t="s">
        <v>540</v>
      </c>
      <c r="G81" s="391">
        <v>8</v>
      </c>
      <c r="H81" s="392">
        <v>1070</v>
      </c>
      <c r="I81" s="392">
        <v>1070</v>
      </c>
      <c r="J81" s="392">
        <v>0</v>
      </c>
      <c r="K81" s="391" t="s">
        <v>515</v>
      </c>
      <c r="L81" s="391" t="s">
        <v>515</v>
      </c>
      <c r="O81" s="392">
        <f t="shared" si="23"/>
        <v>0</v>
      </c>
      <c r="P81" s="392">
        <f t="shared" si="23"/>
        <v>0</v>
      </c>
      <c r="Q81" s="392">
        <f t="shared" si="23"/>
        <v>0</v>
      </c>
      <c r="R81" s="392">
        <f t="shared" si="23"/>
        <v>1070</v>
      </c>
      <c r="S81" s="392">
        <f t="shared" si="23"/>
        <v>0</v>
      </c>
      <c r="U81" s="392">
        <f t="shared" si="17"/>
        <v>0</v>
      </c>
      <c r="V81" s="392">
        <f t="shared" si="17"/>
        <v>0</v>
      </c>
      <c r="W81" s="392">
        <f t="shared" si="17"/>
        <v>0</v>
      </c>
      <c r="X81" s="392">
        <f t="shared" si="17"/>
        <v>1070</v>
      </c>
      <c r="Y81" s="392">
        <f t="shared" si="17"/>
        <v>0</v>
      </c>
      <c r="AA81" s="392">
        <f t="shared" si="18"/>
        <v>0</v>
      </c>
      <c r="AB81" s="392">
        <f t="shared" si="18"/>
        <v>0</v>
      </c>
      <c r="AC81" s="392">
        <f t="shared" si="18"/>
        <v>0</v>
      </c>
      <c r="AD81" s="392">
        <f t="shared" si="18"/>
        <v>0</v>
      </c>
      <c r="AE81" s="392">
        <f t="shared" si="18"/>
        <v>0</v>
      </c>
      <c r="AG81" s="409">
        <f t="shared" si="22"/>
        <v>0</v>
      </c>
      <c r="AH81" s="409">
        <f t="shared" si="22"/>
        <v>0</v>
      </c>
      <c r="AI81" s="409">
        <f t="shared" si="22"/>
        <v>0</v>
      </c>
      <c r="AJ81" s="409">
        <f t="shared" si="22"/>
        <v>1</v>
      </c>
      <c r="AK81" s="409">
        <f t="shared" si="22"/>
        <v>0</v>
      </c>
      <c r="AN81" s="391">
        <v>1070</v>
      </c>
      <c r="AO81" s="423">
        <f t="shared" si="20"/>
        <v>0</v>
      </c>
    </row>
    <row r="82" spans="1:41">
      <c r="A82" s="391" t="s">
        <v>632</v>
      </c>
      <c r="B82" s="408">
        <v>33498</v>
      </c>
      <c r="C82" s="391" t="s">
        <v>697</v>
      </c>
      <c r="D82" s="391" t="s">
        <v>698</v>
      </c>
      <c r="E82" s="391" t="s">
        <v>539</v>
      </c>
      <c r="F82" s="391" t="s">
        <v>540</v>
      </c>
      <c r="G82" s="391">
        <v>8</v>
      </c>
      <c r="H82" s="392">
        <v>1250</v>
      </c>
      <c r="I82" s="392">
        <v>1250</v>
      </c>
      <c r="J82" s="392">
        <v>0</v>
      </c>
      <c r="K82" s="391" t="s">
        <v>515</v>
      </c>
      <c r="L82" s="391" t="s">
        <v>515</v>
      </c>
      <c r="O82" s="392">
        <f t="shared" si="23"/>
        <v>0</v>
      </c>
      <c r="P82" s="392">
        <f t="shared" si="23"/>
        <v>0</v>
      </c>
      <c r="Q82" s="392">
        <f t="shared" si="23"/>
        <v>0</v>
      </c>
      <c r="R82" s="392">
        <f t="shared" si="23"/>
        <v>1250</v>
      </c>
      <c r="S82" s="392">
        <f t="shared" si="23"/>
        <v>0</v>
      </c>
      <c r="U82" s="392">
        <f t="shared" si="17"/>
        <v>0</v>
      </c>
      <c r="V82" s="392">
        <f t="shared" si="17"/>
        <v>0</v>
      </c>
      <c r="W82" s="392">
        <f t="shared" si="17"/>
        <v>0</v>
      </c>
      <c r="X82" s="392">
        <f t="shared" si="17"/>
        <v>1250</v>
      </c>
      <c r="Y82" s="392">
        <f t="shared" si="17"/>
        <v>0</v>
      </c>
      <c r="AA82" s="392">
        <f t="shared" si="18"/>
        <v>0</v>
      </c>
      <c r="AB82" s="392">
        <f t="shared" si="18"/>
        <v>0</v>
      </c>
      <c r="AC82" s="392">
        <f t="shared" si="18"/>
        <v>0</v>
      </c>
      <c r="AD82" s="392">
        <f t="shared" si="18"/>
        <v>0</v>
      </c>
      <c r="AE82" s="392">
        <f t="shared" si="18"/>
        <v>0</v>
      </c>
      <c r="AG82" s="409">
        <f t="shared" si="22"/>
        <v>0</v>
      </c>
      <c r="AH82" s="409">
        <f t="shared" si="22"/>
        <v>0</v>
      </c>
      <c r="AI82" s="409">
        <f t="shared" si="22"/>
        <v>0</v>
      </c>
      <c r="AJ82" s="409">
        <f t="shared" si="22"/>
        <v>1</v>
      </c>
      <c r="AK82" s="409">
        <f t="shared" si="22"/>
        <v>0</v>
      </c>
      <c r="AN82" s="391">
        <v>1250</v>
      </c>
      <c r="AO82" s="423">
        <f t="shared" si="20"/>
        <v>0</v>
      </c>
    </row>
    <row r="83" spans="1:41">
      <c r="A83" s="391" t="s">
        <v>632</v>
      </c>
      <c r="B83" s="408">
        <v>33498</v>
      </c>
      <c r="C83" s="391" t="s">
        <v>699</v>
      </c>
      <c r="D83" s="391" t="s">
        <v>700</v>
      </c>
      <c r="E83" s="391" t="s">
        <v>539</v>
      </c>
      <c r="F83" s="391" t="s">
        <v>540</v>
      </c>
      <c r="G83" s="391">
        <v>8</v>
      </c>
      <c r="H83" s="392">
        <v>975</v>
      </c>
      <c r="I83" s="392">
        <v>975</v>
      </c>
      <c r="J83" s="392">
        <v>0</v>
      </c>
      <c r="K83" s="391" t="s">
        <v>515</v>
      </c>
      <c r="L83" s="391" t="s">
        <v>515</v>
      </c>
      <c r="O83" s="392">
        <f t="shared" si="23"/>
        <v>0</v>
      </c>
      <c r="P83" s="392">
        <f t="shared" si="23"/>
        <v>0</v>
      </c>
      <c r="Q83" s="392">
        <f t="shared" si="23"/>
        <v>0</v>
      </c>
      <c r="R83" s="392">
        <f t="shared" si="23"/>
        <v>975</v>
      </c>
      <c r="S83" s="392">
        <f t="shared" si="23"/>
        <v>0</v>
      </c>
      <c r="U83" s="392">
        <f t="shared" si="17"/>
        <v>0</v>
      </c>
      <c r="V83" s="392">
        <f t="shared" si="17"/>
        <v>0</v>
      </c>
      <c r="W83" s="392">
        <f t="shared" si="17"/>
        <v>0</v>
      </c>
      <c r="X83" s="392">
        <f t="shared" si="17"/>
        <v>975</v>
      </c>
      <c r="Y83" s="392">
        <f t="shared" si="17"/>
        <v>0</v>
      </c>
      <c r="AA83" s="392">
        <f t="shared" si="18"/>
        <v>0</v>
      </c>
      <c r="AB83" s="392">
        <f t="shared" si="18"/>
        <v>0</v>
      </c>
      <c r="AC83" s="392">
        <f t="shared" si="18"/>
        <v>0</v>
      </c>
      <c r="AD83" s="392">
        <f t="shared" si="18"/>
        <v>0</v>
      </c>
      <c r="AE83" s="392">
        <f t="shared" si="18"/>
        <v>0</v>
      </c>
      <c r="AG83" s="409">
        <f t="shared" si="22"/>
        <v>0</v>
      </c>
      <c r="AH83" s="409">
        <f t="shared" si="22"/>
        <v>0</v>
      </c>
      <c r="AI83" s="409">
        <f t="shared" si="22"/>
        <v>0</v>
      </c>
      <c r="AJ83" s="409">
        <f t="shared" si="22"/>
        <v>1</v>
      </c>
      <c r="AK83" s="409">
        <f t="shared" si="22"/>
        <v>0</v>
      </c>
      <c r="AN83" s="391">
        <v>975</v>
      </c>
      <c r="AO83" s="423">
        <f t="shared" si="20"/>
        <v>0</v>
      </c>
    </row>
    <row r="84" spans="1:41">
      <c r="A84" s="391" t="s">
        <v>632</v>
      </c>
      <c r="B84" s="408">
        <v>33498</v>
      </c>
      <c r="C84" s="391" t="s">
        <v>701</v>
      </c>
      <c r="D84" s="391" t="s">
        <v>702</v>
      </c>
      <c r="E84" s="391" t="s">
        <v>539</v>
      </c>
      <c r="F84" s="391" t="s">
        <v>540</v>
      </c>
      <c r="G84" s="391">
        <v>8</v>
      </c>
      <c r="H84" s="392">
        <v>1250</v>
      </c>
      <c r="I84" s="392">
        <v>1250</v>
      </c>
      <c r="J84" s="392">
        <v>0</v>
      </c>
      <c r="K84" s="391" t="s">
        <v>515</v>
      </c>
      <c r="L84" s="391" t="s">
        <v>515</v>
      </c>
      <c r="O84" s="392">
        <f t="shared" ref="O84:S93" si="24">IF(O$8=$K84,$H84,0)</f>
        <v>0</v>
      </c>
      <c r="P84" s="392">
        <f t="shared" si="24"/>
        <v>0</v>
      </c>
      <c r="Q84" s="392">
        <f t="shared" si="24"/>
        <v>0</v>
      </c>
      <c r="R84" s="392">
        <f t="shared" si="24"/>
        <v>1250</v>
      </c>
      <c r="S84" s="392">
        <f t="shared" si="24"/>
        <v>0</v>
      </c>
      <c r="U84" s="392">
        <f t="shared" si="17"/>
        <v>0</v>
      </c>
      <c r="V84" s="392">
        <f t="shared" si="17"/>
        <v>0</v>
      </c>
      <c r="W84" s="392">
        <f t="shared" si="17"/>
        <v>0</v>
      </c>
      <c r="X84" s="392">
        <f t="shared" si="17"/>
        <v>1250</v>
      </c>
      <c r="Y84" s="392">
        <f t="shared" si="17"/>
        <v>0</v>
      </c>
      <c r="AA84" s="392">
        <f t="shared" si="18"/>
        <v>0</v>
      </c>
      <c r="AB84" s="392">
        <f t="shared" si="18"/>
        <v>0</v>
      </c>
      <c r="AC84" s="392">
        <f t="shared" si="18"/>
        <v>0</v>
      </c>
      <c r="AD84" s="392">
        <f t="shared" si="18"/>
        <v>0</v>
      </c>
      <c r="AE84" s="392">
        <f t="shared" si="18"/>
        <v>0</v>
      </c>
      <c r="AG84" s="409">
        <f t="shared" si="22"/>
        <v>0</v>
      </c>
      <c r="AH84" s="409">
        <f t="shared" si="22"/>
        <v>0</v>
      </c>
      <c r="AI84" s="409">
        <f t="shared" si="22"/>
        <v>0</v>
      </c>
      <c r="AJ84" s="409">
        <f t="shared" si="22"/>
        <v>1</v>
      </c>
      <c r="AK84" s="409">
        <f t="shared" si="22"/>
        <v>0</v>
      </c>
      <c r="AN84" s="391">
        <v>1250</v>
      </c>
      <c r="AO84" s="423">
        <f t="shared" si="20"/>
        <v>0</v>
      </c>
    </row>
    <row r="85" spans="1:41">
      <c r="A85" s="391" t="s">
        <v>632</v>
      </c>
      <c r="B85" s="408">
        <v>33498</v>
      </c>
      <c r="C85" s="391" t="s">
        <v>699</v>
      </c>
      <c r="D85" s="391" t="s">
        <v>703</v>
      </c>
      <c r="E85" s="391" t="s">
        <v>539</v>
      </c>
      <c r="F85" s="391" t="s">
        <v>540</v>
      </c>
      <c r="G85" s="391">
        <v>8</v>
      </c>
      <c r="H85" s="392">
        <v>975</v>
      </c>
      <c r="I85" s="392">
        <v>975</v>
      </c>
      <c r="J85" s="392">
        <v>0</v>
      </c>
      <c r="K85" s="391" t="s">
        <v>515</v>
      </c>
      <c r="L85" s="391" t="s">
        <v>515</v>
      </c>
      <c r="O85" s="392">
        <f t="shared" si="24"/>
        <v>0</v>
      </c>
      <c r="P85" s="392">
        <f t="shared" si="24"/>
        <v>0</v>
      </c>
      <c r="Q85" s="392">
        <f t="shared" si="24"/>
        <v>0</v>
      </c>
      <c r="R85" s="392">
        <f t="shared" si="24"/>
        <v>975</v>
      </c>
      <c r="S85" s="392">
        <f t="shared" si="24"/>
        <v>0</v>
      </c>
      <c r="U85" s="392">
        <f t="shared" si="17"/>
        <v>0</v>
      </c>
      <c r="V85" s="392">
        <f t="shared" si="17"/>
        <v>0</v>
      </c>
      <c r="W85" s="392">
        <f t="shared" si="17"/>
        <v>0</v>
      </c>
      <c r="X85" s="392">
        <f t="shared" si="17"/>
        <v>975</v>
      </c>
      <c r="Y85" s="392">
        <f t="shared" si="17"/>
        <v>0</v>
      </c>
      <c r="AA85" s="392">
        <f t="shared" si="18"/>
        <v>0</v>
      </c>
      <c r="AB85" s="392">
        <f t="shared" si="18"/>
        <v>0</v>
      </c>
      <c r="AC85" s="392">
        <f t="shared" si="18"/>
        <v>0</v>
      </c>
      <c r="AD85" s="392">
        <f t="shared" si="18"/>
        <v>0</v>
      </c>
      <c r="AE85" s="392">
        <f t="shared" si="18"/>
        <v>0</v>
      </c>
      <c r="AG85" s="409">
        <f t="shared" si="22"/>
        <v>0</v>
      </c>
      <c r="AH85" s="409">
        <f t="shared" si="22"/>
        <v>0</v>
      </c>
      <c r="AI85" s="409">
        <f t="shared" si="22"/>
        <v>0</v>
      </c>
      <c r="AJ85" s="409">
        <f t="shared" si="22"/>
        <v>1</v>
      </c>
      <c r="AK85" s="409">
        <f t="shared" si="22"/>
        <v>0</v>
      </c>
      <c r="AN85" s="391">
        <v>975</v>
      </c>
      <c r="AO85" s="423">
        <f t="shared" si="20"/>
        <v>0</v>
      </c>
    </row>
    <row r="86" spans="1:41">
      <c r="A86" s="391" t="s">
        <v>567</v>
      </c>
      <c r="B86" s="408">
        <v>33512</v>
      </c>
      <c r="C86" s="391" t="s">
        <v>704</v>
      </c>
      <c r="D86" s="391" t="s">
        <v>705</v>
      </c>
      <c r="E86" s="391" t="s">
        <v>539</v>
      </c>
      <c r="F86" s="391" t="s">
        <v>540</v>
      </c>
      <c r="G86" s="391">
        <v>30</v>
      </c>
      <c r="H86" s="392">
        <v>32101.65</v>
      </c>
      <c r="I86" s="392">
        <v>25776.86</v>
      </c>
      <c r="J86" s="392">
        <v>1070.06</v>
      </c>
      <c r="K86" s="391" t="s">
        <v>505</v>
      </c>
      <c r="L86" s="391" t="s">
        <v>505</v>
      </c>
      <c r="O86" s="392">
        <f t="shared" si="24"/>
        <v>0</v>
      </c>
      <c r="P86" s="392">
        <f t="shared" si="24"/>
        <v>0</v>
      </c>
      <c r="Q86" s="392">
        <f t="shared" si="24"/>
        <v>32101.65</v>
      </c>
      <c r="R86" s="392">
        <f t="shared" si="24"/>
        <v>0</v>
      </c>
      <c r="S86" s="392">
        <f t="shared" si="24"/>
        <v>0</v>
      </c>
      <c r="U86" s="392">
        <f t="shared" si="17"/>
        <v>0</v>
      </c>
      <c r="V86" s="392">
        <f t="shared" si="17"/>
        <v>0</v>
      </c>
      <c r="W86" s="392">
        <f t="shared" si="17"/>
        <v>25776.86</v>
      </c>
      <c r="X86" s="392">
        <f t="shared" si="17"/>
        <v>0</v>
      </c>
      <c r="Y86" s="392">
        <f t="shared" si="17"/>
        <v>0</v>
      </c>
      <c r="AA86" s="392">
        <f t="shared" si="18"/>
        <v>0</v>
      </c>
      <c r="AB86" s="392">
        <f t="shared" si="18"/>
        <v>0</v>
      </c>
      <c r="AC86" s="392">
        <f t="shared" si="18"/>
        <v>1070.06</v>
      </c>
      <c r="AD86" s="392">
        <f t="shared" si="18"/>
        <v>0</v>
      </c>
      <c r="AE86" s="392">
        <f t="shared" si="18"/>
        <v>0</v>
      </c>
      <c r="AG86" s="409">
        <f t="shared" si="22"/>
        <v>0</v>
      </c>
      <c r="AH86" s="409">
        <f t="shared" si="22"/>
        <v>0</v>
      </c>
      <c r="AI86" s="409">
        <f t="shared" si="22"/>
        <v>1</v>
      </c>
      <c r="AJ86" s="409">
        <f t="shared" si="22"/>
        <v>0</v>
      </c>
      <c r="AK86" s="409">
        <f t="shared" si="22"/>
        <v>0</v>
      </c>
      <c r="AN86" s="391">
        <v>32101.65</v>
      </c>
      <c r="AO86" s="423">
        <f t="shared" si="20"/>
        <v>0</v>
      </c>
    </row>
    <row r="87" spans="1:41">
      <c r="A87" s="391" t="s">
        <v>616</v>
      </c>
      <c r="B87" s="408">
        <v>33512</v>
      </c>
      <c r="C87" s="391" t="s">
        <v>706</v>
      </c>
      <c r="D87" s="391" t="s">
        <v>707</v>
      </c>
      <c r="E87" s="391" t="s">
        <v>539</v>
      </c>
      <c r="F87" s="391" t="s">
        <v>540</v>
      </c>
      <c r="G87" s="391">
        <v>25</v>
      </c>
      <c r="H87" s="392">
        <v>27158.04</v>
      </c>
      <c r="I87" s="392">
        <v>26074.35</v>
      </c>
      <c r="J87" s="392">
        <v>1086.32</v>
      </c>
      <c r="K87" s="391" t="s">
        <v>505</v>
      </c>
      <c r="L87" s="391" t="s">
        <v>505</v>
      </c>
      <c r="O87" s="392">
        <f t="shared" si="24"/>
        <v>0</v>
      </c>
      <c r="P87" s="392">
        <f t="shared" si="24"/>
        <v>0</v>
      </c>
      <c r="Q87" s="392">
        <f t="shared" si="24"/>
        <v>27158.04</v>
      </c>
      <c r="R87" s="392">
        <f t="shared" si="24"/>
        <v>0</v>
      </c>
      <c r="S87" s="392">
        <f t="shared" si="24"/>
        <v>0</v>
      </c>
      <c r="U87" s="392">
        <f t="shared" si="17"/>
        <v>0</v>
      </c>
      <c r="V87" s="392">
        <f t="shared" si="17"/>
        <v>0</v>
      </c>
      <c r="W87" s="392">
        <f t="shared" si="17"/>
        <v>26074.35</v>
      </c>
      <c r="X87" s="392">
        <f t="shared" si="17"/>
        <v>0</v>
      </c>
      <c r="Y87" s="392">
        <f t="shared" si="17"/>
        <v>0</v>
      </c>
      <c r="AA87" s="392">
        <f t="shared" si="18"/>
        <v>0</v>
      </c>
      <c r="AB87" s="392">
        <f t="shared" si="18"/>
        <v>0</v>
      </c>
      <c r="AC87" s="392">
        <f t="shared" si="18"/>
        <v>1086.32</v>
      </c>
      <c r="AD87" s="392">
        <f t="shared" si="18"/>
        <v>0</v>
      </c>
      <c r="AE87" s="392">
        <f t="shared" si="18"/>
        <v>0</v>
      </c>
      <c r="AG87" s="409">
        <f t="shared" si="22"/>
        <v>0</v>
      </c>
      <c r="AH87" s="409">
        <f t="shared" si="22"/>
        <v>0</v>
      </c>
      <c r="AI87" s="409">
        <f t="shared" si="22"/>
        <v>1</v>
      </c>
      <c r="AJ87" s="409">
        <f t="shared" si="22"/>
        <v>0</v>
      </c>
      <c r="AK87" s="409">
        <f t="shared" si="22"/>
        <v>0</v>
      </c>
      <c r="AN87" s="391">
        <v>27158.04</v>
      </c>
      <c r="AO87" s="423">
        <f t="shared" si="20"/>
        <v>0</v>
      </c>
    </row>
    <row r="88" spans="1:41">
      <c r="A88" s="391" t="s">
        <v>592</v>
      </c>
      <c r="B88" s="408">
        <v>33512</v>
      </c>
      <c r="C88" s="391" t="s">
        <v>708</v>
      </c>
      <c r="D88" s="391" t="s">
        <v>709</v>
      </c>
      <c r="E88" s="391" t="s">
        <v>539</v>
      </c>
      <c r="F88" s="391" t="s">
        <v>540</v>
      </c>
      <c r="G88" s="391">
        <v>30</v>
      </c>
      <c r="H88" s="392">
        <v>123863.14</v>
      </c>
      <c r="I88" s="392">
        <v>98989.83</v>
      </c>
      <c r="J88" s="392">
        <v>4128.7700000000004</v>
      </c>
      <c r="K88" s="391" t="s">
        <v>505</v>
      </c>
      <c r="L88" s="391" t="s">
        <v>505</v>
      </c>
      <c r="O88" s="392">
        <f t="shared" si="24"/>
        <v>0</v>
      </c>
      <c r="P88" s="392">
        <f t="shared" si="24"/>
        <v>0</v>
      </c>
      <c r="Q88" s="392">
        <f t="shared" si="24"/>
        <v>123863.14</v>
      </c>
      <c r="R88" s="392">
        <f t="shared" si="24"/>
        <v>0</v>
      </c>
      <c r="S88" s="392">
        <f t="shared" si="24"/>
        <v>0</v>
      </c>
      <c r="U88" s="392">
        <f t="shared" si="17"/>
        <v>0</v>
      </c>
      <c r="V88" s="392">
        <f t="shared" si="17"/>
        <v>0</v>
      </c>
      <c r="W88" s="392">
        <f t="shared" si="17"/>
        <v>98989.83</v>
      </c>
      <c r="X88" s="392">
        <f t="shared" si="17"/>
        <v>0</v>
      </c>
      <c r="Y88" s="392">
        <f t="shared" si="17"/>
        <v>0</v>
      </c>
      <c r="AA88" s="392">
        <f t="shared" si="18"/>
        <v>0</v>
      </c>
      <c r="AB88" s="392">
        <f t="shared" si="18"/>
        <v>0</v>
      </c>
      <c r="AC88" s="392">
        <f t="shared" si="18"/>
        <v>4128.7700000000004</v>
      </c>
      <c r="AD88" s="392">
        <f t="shared" si="18"/>
        <v>0</v>
      </c>
      <c r="AE88" s="392">
        <f t="shared" si="18"/>
        <v>0</v>
      </c>
      <c r="AG88" s="409">
        <f t="shared" si="22"/>
        <v>0</v>
      </c>
      <c r="AH88" s="409">
        <f t="shared" si="22"/>
        <v>0</v>
      </c>
      <c r="AI88" s="409">
        <f t="shared" si="22"/>
        <v>1</v>
      </c>
      <c r="AJ88" s="409">
        <f t="shared" si="22"/>
        <v>0</v>
      </c>
      <c r="AK88" s="409">
        <f t="shared" si="22"/>
        <v>0</v>
      </c>
      <c r="AN88" s="391">
        <v>123863.14</v>
      </c>
      <c r="AO88" s="423">
        <f t="shared" si="20"/>
        <v>0</v>
      </c>
    </row>
    <row r="89" spans="1:41">
      <c r="A89" s="391" t="s">
        <v>585</v>
      </c>
      <c r="B89" s="408">
        <v>33512</v>
      </c>
      <c r="C89" s="391" t="s">
        <v>710</v>
      </c>
      <c r="D89" s="391" t="s">
        <v>711</v>
      </c>
      <c r="E89" s="391" t="s">
        <v>539</v>
      </c>
      <c r="F89" s="391" t="s">
        <v>540</v>
      </c>
      <c r="G89" s="391">
        <v>30</v>
      </c>
      <c r="H89" s="392">
        <v>99000.320000000007</v>
      </c>
      <c r="I89" s="392">
        <v>81041.209999999992</v>
      </c>
      <c r="J89" s="392">
        <v>3300.01</v>
      </c>
      <c r="K89" s="391" t="s">
        <v>505</v>
      </c>
      <c r="L89" s="391" t="s">
        <v>505</v>
      </c>
      <c r="O89" s="392">
        <f t="shared" si="24"/>
        <v>0</v>
      </c>
      <c r="P89" s="392">
        <f t="shared" si="24"/>
        <v>0</v>
      </c>
      <c r="Q89" s="392">
        <f t="shared" si="24"/>
        <v>99000.320000000007</v>
      </c>
      <c r="R89" s="392">
        <f t="shared" si="24"/>
        <v>0</v>
      </c>
      <c r="S89" s="392">
        <f t="shared" si="24"/>
        <v>0</v>
      </c>
      <c r="U89" s="392">
        <f t="shared" si="17"/>
        <v>0</v>
      </c>
      <c r="V89" s="392">
        <f t="shared" si="17"/>
        <v>0</v>
      </c>
      <c r="W89" s="392">
        <f t="shared" si="17"/>
        <v>81041.209999999992</v>
      </c>
      <c r="X89" s="392">
        <f t="shared" si="17"/>
        <v>0</v>
      </c>
      <c r="Y89" s="392">
        <f t="shared" si="17"/>
        <v>0</v>
      </c>
      <c r="AA89" s="392">
        <f t="shared" si="18"/>
        <v>0</v>
      </c>
      <c r="AB89" s="392">
        <f t="shared" si="18"/>
        <v>0</v>
      </c>
      <c r="AC89" s="392">
        <f t="shared" si="18"/>
        <v>3300.01</v>
      </c>
      <c r="AD89" s="392">
        <f t="shared" si="18"/>
        <v>0</v>
      </c>
      <c r="AE89" s="392">
        <f t="shared" si="18"/>
        <v>0</v>
      </c>
      <c r="AG89" s="409">
        <f t="shared" si="22"/>
        <v>0</v>
      </c>
      <c r="AH89" s="409">
        <f t="shared" si="22"/>
        <v>0</v>
      </c>
      <c r="AI89" s="409">
        <f t="shared" si="22"/>
        <v>1</v>
      </c>
      <c r="AJ89" s="409">
        <f t="shared" si="22"/>
        <v>0</v>
      </c>
      <c r="AK89" s="409">
        <f t="shared" si="22"/>
        <v>0</v>
      </c>
      <c r="AN89" s="391">
        <v>99000.320000000007</v>
      </c>
      <c r="AO89" s="423">
        <f t="shared" si="20"/>
        <v>0</v>
      </c>
    </row>
    <row r="90" spans="1:41">
      <c r="A90" s="391" t="s">
        <v>572</v>
      </c>
      <c r="B90" s="408">
        <v>33575</v>
      </c>
      <c r="C90" s="391" t="s">
        <v>708</v>
      </c>
      <c r="D90" s="391" t="s">
        <v>712</v>
      </c>
      <c r="E90" s="391" t="s">
        <v>539</v>
      </c>
      <c r="F90" s="391" t="s">
        <v>540</v>
      </c>
      <c r="G90" s="391">
        <v>30</v>
      </c>
      <c r="H90" s="392">
        <v>244559</v>
      </c>
      <c r="I90" s="392">
        <v>198792.14</v>
      </c>
      <c r="J90" s="392">
        <v>8151.97</v>
      </c>
      <c r="K90" s="391" t="s">
        <v>505</v>
      </c>
      <c r="L90" s="391" t="s">
        <v>505</v>
      </c>
      <c r="O90" s="392">
        <f t="shared" si="24"/>
        <v>0</v>
      </c>
      <c r="P90" s="392">
        <f t="shared" si="24"/>
        <v>0</v>
      </c>
      <c r="Q90" s="392">
        <f t="shared" si="24"/>
        <v>244559</v>
      </c>
      <c r="R90" s="392">
        <f t="shared" si="24"/>
        <v>0</v>
      </c>
      <c r="S90" s="392">
        <f t="shared" si="24"/>
        <v>0</v>
      </c>
      <c r="U90" s="392">
        <f t="shared" si="17"/>
        <v>0</v>
      </c>
      <c r="V90" s="392">
        <f t="shared" si="17"/>
        <v>0</v>
      </c>
      <c r="W90" s="392">
        <f t="shared" si="17"/>
        <v>198792.14</v>
      </c>
      <c r="X90" s="392">
        <f t="shared" si="17"/>
        <v>0</v>
      </c>
      <c r="Y90" s="392">
        <f t="shared" si="17"/>
        <v>0</v>
      </c>
      <c r="AA90" s="392">
        <f t="shared" si="18"/>
        <v>0</v>
      </c>
      <c r="AB90" s="392">
        <f t="shared" si="18"/>
        <v>0</v>
      </c>
      <c r="AC90" s="392">
        <f t="shared" si="18"/>
        <v>8151.97</v>
      </c>
      <c r="AD90" s="392">
        <f t="shared" si="18"/>
        <v>0</v>
      </c>
      <c r="AE90" s="392">
        <f t="shared" si="18"/>
        <v>0</v>
      </c>
      <c r="AG90" s="409">
        <f t="shared" si="22"/>
        <v>0</v>
      </c>
      <c r="AH90" s="409">
        <f t="shared" si="22"/>
        <v>0</v>
      </c>
      <c r="AI90" s="409">
        <f t="shared" si="22"/>
        <v>1</v>
      </c>
      <c r="AJ90" s="409">
        <f t="shared" si="22"/>
        <v>0</v>
      </c>
      <c r="AK90" s="409">
        <f t="shared" si="22"/>
        <v>0</v>
      </c>
      <c r="AN90" s="391">
        <v>244559</v>
      </c>
      <c r="AO90" s="423">
        <f t="shared" si="20"/>
        <v>0</v>
      </c>
    </row>
    <row r="91" spans="1:41">
      <c r="A91" s="391" t="s">
        <v>682</v>
      </c>
      <c r="B91" s="408">
        <v>33583</v>
      </c>
      <c r="C91" s="391" t="s">
        <v>713</v>
      </c>
      <c r="D91" s="391" t="s">
        <v>714</v>
      </c>
      <c r="E91" s="391" t="s">
        <v>539</v>
      </c>
      <c r="F91" s="391" t="s">
        <v>540</v>
      </c>
      <c r="G91" s="391">
        <v>8</v>
      </c>
      <c r="H91" s="392">
        <v>1822</v>
      </c>
      <c r="I91" s="392">
        <v>1822</v>
      </c>
      <c r="J91" s="392">
        <v>0</v>
      </c>
      <c r="K91" s="391" t="s">
        <v>515</v>
      </c>
      <c r="L91" s="391" t="s">
        <v>515</v>
      </c>
      <c r="O91" s="392">
        <f t="shared" si="24"/>
        <v>0</v>
      </c>
      <c r="P91" s="392">
        <f t="shared" si="24"/>
        <v>0</v>
      </c>
      <c r="Q91" s="392">
        <f t="shared" si="24"/>
        <v>0</v>
      </c>
      <c r="R91" s="392">
        <f t="shared" si="24"/>
        <v>1822</v>
      </c>
      <c r="S91" s="392">
        <f t="shared" si="24"/>
        <v>0</v>
      </c>
      <c r="U91" s="392">
        <f t="shared" si="17"/>
        <v>0</v>
      </c>
      <c r="V91" s="392">
        <f t="shared" si="17"/>
        <v>0</v>
      </c>
      <c r="W91" s="392">
        <f t="shared" si="17"/>
        <v>0</v>
      </c>
      <c r="X91" s="392">
        <f t="shared" si="17"/>
        <v>1822</v>
      </c>
      <c r="Y91" s="392">
        <f t="shared" si="17"/>
        <v>0</v>
      </c>
      <c r="AA91" s="392">
        <f t="shared" si="18"/>
        <v>0</v>
      </c>
      <c r="AB91" s="392">
        <f t="shared" si="18"/>
        <v>0</v>
      </c>
      <c r="AC91" s="392">
        <f t="shared" si="18"/>
        <v>0</v>
      </c>
      <c r="AD91" s="392">
        <f t="shared" si="18"/>
        <v>0</v>
      </c>
      <c r="AE91" s="392">
        <f t="shared" si="18"/>
        <v>0</v>
      </c>
      <c r="AG91" s="409">
        <f t="shared" si="22"/>
        <v>0</v>
      </c>
      <c r="AH91" s="409">
        <f t="shared" si="22"/>
        <v>0</v>
      </c>
      <c r="AI91" s="409">
        <f t="shared" si="22"/>
        <v>0</v>
      </c>
      <c r="AJ91" s="409">
        <f t="shared" si="22"/>
        <v>1</v>
      </c>
      <c r="AK91" s="409">
        <f t="shared" si="22"/>
        <v>0</v>
      </c>
      <c r="AN91" s="391">
        <v>1822</v>
      </c>
      <c r="AO91" s="423">
        <f t="shared" si="20"/>
        <v>0</v>
      </c>
    </row>
    <row r="92" spans="1:41">
      <c r="A92" s="391" t="s">
        <v>585</v>
      </c>
      <c r="B92" s="408">
        <v>33584</v>
      </c>
      <c r="C92" s="391" t="s">
        <v>715</v>
      </c>
      <c r="D92" s="391" t="s">
        <v>716</v>
      </c>
      <c r="E92" s="391" t="s">
        <v>539</v>
      </c>
      <c r="F92" s="391" t="s">
        <v>540</v>
      </c>
      <c r="G92" s="391">
        <v>30</v>
      </c>
      <c r="H92" s="392">
        <v>4340</v>
      </c>
      <c r="I92" s="392">
        <v>3522.65</v>
      </c>
      <c r="J92" s="392">
        <v>144.66999999999999</v>
      </c>
      <c r="K92" s="391" t="s">
        <v>505</v>
      </c>
      <c r="L92" s="391" t="s">
        <v>505</v>
      </c>
      <c r="O92" s="392">
        <f t="shared" si="24"/>
        <v>0</v>
      </c>
      <c r="P92" s="392">
        <f t="shared" si="24"/>
        <v>0</v>
      </c>
      <c r="Q92" s="392">
        <f t="shared" si="24"/>
        <v>4340</v>
      </c>
      <c r="R92" s="392">
        <f t="shared" si="24"/>
        <v>0</v>
      </c>
      <c r="S92" s="392">
        <f t="shared" si="24"/>
        <v>0</v>
      </c>
      <c r="U92" s="392">
        <f t="shared" si="17"/>
        <v>0</v>
      </c>
      <c r="V92" s="392">
        <f t="shared" si="17"/>
        <v>0</v>
      </c>
      <c r="W92" s="392">
        <f t="shared" si="17"/>
        <v>3522.65</v>
      </c>
      <c r="X92" s="392">
        <f t="shared" si="17"/>
        <v>0</v>
      </c>
      <c r="Y92" s="392">
        <f t="shared" si="17"/>
        <v>0</v>
      </c>
      <c r="AA92" s="392">
        <f t="shared" si="18"/>
        <v>0</v>
      </c>
      <c r="AB92" s="392">
        <f t="shared" si="18"/>
        <v>0</v>
      </c>
      <c r="AC92" s="392">
        <f t="shared" si="18"/>
        <v>144.66999999999999</v>
      </c>
      <c r="AD92" s="392">
        <f t="shared" si="18"/>
        <v>0</v>
      </c>
      <c r="AE92" s="392">
        <f t="shared" si="18"/>
        <v>0</v>
      </c>
      <c r="AG92" s="409">
        <f t="shared" si="22"/>
        <v>0</v>
      </c>
      <c r="AH92" s="409">
        <f t="shared" si="22"/>
        <v>0</v>
      </c>
      <c r="AI92" s="409">
        <f t="shared" si="22"/>
        <v>1</v>
      </c>
      <c r="AJ92" s="409">
        <f t="shared" si="22"/>
        <v>0</v>
      </c>
      <c r="AK92" s="409">
        <f t="shared" si="22"/>
        <v>0</v>
      </c>
      <c r="AN92" s="391">
        <v>4340</v>
      </c>
      <c r="AO92" s="423">
        <f t="shared" si="20"/>
        <v>0</v>
      </c>
    </row>
    <row r="93" spans="1:41">
      <c r="A93" s="391" t="s">
        <v>554</v>
      </c>
      <c r="B93" s="408">
        <v>33708</v>
      </c>
      <c r="C93" s="391" t="s">
        <v>717</v>
      </c>
      <c r="D93" s="391" t="s">
        <v>718</v>
      </c>
      <c r="E93" s="391" t="s">
        <v>539</v>
      </c>
      <c r="F93" s="391" t="s">
        <v>540</v>
      </c>
      <c r="G93" s="391">
        <v>30</v>
      </c>
      <c r="H93" s="392">
        <v>50361.53</v>
      </c>
      <c r="I93" s="392">
        <v>40321.19</v>
      </c>
      <c r="J93" s="392">
        <v>1678.72</v>
      </c>
      <c r="K93" s="391" t="s">
        <v>505</v>
      </c>
      <c r="L93" s="391" t="s">
        <v>505</v>
      </c>
      <c r="O93" s="392">
        <f t="shared" si="24"/>
        <v>0</v>
      </c>
      <c r="P93" s="392">
        <f t="shared" si="24"/>
        <v>0</v>
      </c>
      <c r="Q93" s="392">
        <f t="shared" si="24"/>
        <v>50361.53</v>
      </c>
      <c r="R93" s="392">
        <f t="shared" si="24"/>
        <v>0</v>
      </c>
      <c r="S93" s="392">
        <f t="shared" si="24"/>
        <v>0</v>
      </c>
      <c r="U93" s="392">
        <f t="shared" si="17"/>
        <v>0</v>
      </c>
      <c r="V93" s="392">
        <f t="shared" si="17"/>
        <v>0</v>
      </c>
      <c r="W93" s="392">
        <f t="shared" si="17"/>
        <v>40321.19</v>
      </c>
      <c r="X93" s="392">
        <f t="shared" si="17"/>
        <v>0</v>
      </c>
      <c r="Y93" s="392">
        <f t="shared" si="17"/>
        <v>0</v>
      </c>
      <c r="AA93" s="392">
        <f t="shared" si="18"/>
        <v>0</v>
      </c>
      <c r="AB93" s="392">
        <f t="shared" si="18"/>
        <v>0</v>
      </c>
      <c r="AC93" s="392">
        <f t="shared" si="18"/>
        <v>1678.72</v>
      </c>
      <c r="AD93" s="392">
        <f t="shared" si="18"/>
        <v>0</v>
      </c>
      <c r="AE93" s="392">
        <f t="shared" si="18"/>
        <v>0</v>
      </c>
      <c r="AG93" s="409">
        <f t="shared" si="22"/>
        <v>0</v>
      </c>
      <c r="AH93" s="409">
        <f t="shared" si="22"/>
        <v>0</v>
      </c>
      <c r="AI93" s="409">
        <f t="shared" si="22"/>
        <v>1</v>
      </c>
      <c r="AJ93" s="409">
        <f t="shared" si="22"/>
        <v>0</v>
      </c>
      <c r="AK93" s="409">
        <f t="shared" si="22"/>
        <v>0</v>
      </c>
      <c r="AN93" s="391">
        <v>50361.53</v>
      </c>
      <c r="AO93" s="423">
        <f t="shared" si="20"/>
        <v>0</v>
      </c>
    </row>
    <row r="94" spans="1:41">
      <c r="A94" s="391" t="s">
        <v>632</v>
      </c>
      <c r="B94" s="408">
        <v>33723</v>
      </c>
      <c r="C94" s="391" t="s">
        <v>719</v>
      </c>
      <c r="D94" s="391" t="s">
        <v>720</v>
      </c>
      <c r="E94" s="391" t="s">
        <v>539</v>
      </c>
      <c r="F94" s="391" t="s">
        <v>540</v>
      </c>
      <c r="G94" s="391">
        <v>8</v>
      </c>
      <c r="H94" s="392">
        <v>995</v>
      </c>
      <c r="I94" s="392">
        <v>995</v>
      </c>
      <c r="J94" s="392">
        <v>0</v>
      </c>
      <c r="K94" s="391" t="s">
        <v>515</v>
      </c>
      <c r="L94" s="391" t="s">
        <v>515</v>
      </c>
      <c r="O94" s="392">
        <f t="shared" ref="O94:S103" si="25">IF(O$8=$K94,$H94,0)</f>
        <v>0</v>
      </c>
      <c r="P94" s="392">
        <f t="shared" si="25"/>
        <v>0</v>
      </c>
      <c r="Q94" s="392">
        <f t="shared" si="25"/>
        <v>0</v>
      </c>
      <c r="R94" s="392">
        <f t="shared" si="25"/>
        <v>995</v>
      </c>
      <c r="S94" s="392">
        <f t="shared" si="25"/>
        <v>0</v>
      </c>
      <c r="U94" s="392">
        <f t="shared" si="17"/>
        <v>0</v>
      </c>
      <c r="V94" s="392">
        <f t="shared" si="17"/>
        <v>0</v>
      </c>
      <c r="W94" s="392">
        <f t="shared" si="17"/>
        <v>0</v>
      </c>
      <c r="X94" s="392">
        <f t="shared" si="17"/>
        <v>995</v>
      </c>
      <c r="Y94" s="392">
        <f t="shared" si="17"/>
        <v>0</v>
      </c>
      <c r="AA94" s="392">
        <f t="shared" si="18"/>
        <v>0</v>
      </c>
      <c r="AB94" s="392">
        <f t="shared" si="18"/>
        <v>0</v>
      </c>
      <c r="AC94" s="392">
        <f t="shared" si="18"/>
        <v>0</v>
      </c>
      <c r="AD94" s="392">
        <f t="shared" si="18"/>
        <v>0</v>
      </c>
      <c r="AE94" s="392">
        <f t="shared" si="18"/>
        <v>0</v>
      </c>
      <c r="AG94" s="409">
        <f t="shared" si="22"/>
        <v>0</v>
      </c>
      <c r="AH94" s="409">
        <f t="shared" si="22"/>
        <v>0</v>
      </c>
      <c r="AI94" s="409">
        <f t="shared" si="22"/>
        <v>0</v>
      </c>
      <c r="AJ94" s="409">
        <f t="shared" si="22"/>
        <v>1</v>
      </c>
      <c r="AK94" s="409">
        <f t="shared" si="22"/>
        <v>0</v>
      </c>
      <c r="AN94" s="391">
        <v>995</v>
      </c>
      <c r="AO94" s="423">
        <f t="shared" si="20"/>
        <v>0</v>
      </c>
    </row>
    <row r="95" spans="1:41">
      <c r="A95" s="391" t="s">
        <v>554</v>
      </c>
      <c r="B95" s="408">
        <v>33724</v>
      </c>
      <c r="C95" s="391" t="s">
        <v>721</v>
      </c>
      <c r="D95" s="391" t="s">
        <v>722</v>
      </c>
      <c r="E95" s="391" t="s">
        <v>539</v>
      </c>
      <c r="F95" s="391" t="s">
        <v>540</v>
      </c>
      <c r="G95" s="391">
        <v>30</v>
      </c>
      <c r="H95" s="392">
        <v>111203.84</v>
      </c>
      <c r="I95" s="392">
        <v>88873.68</v>
      </c>
      <c r="J95" s="392">
        <v>3706.79</v>
      </c>
      <c r="K95" s="391" t="s">
        <v>505</v>
      </c>
      <c r="L95" s="391" t="s">
        <v>505</v>
      </c>
      <c r="O95" s="392">
        <f t="shared" si="25"/>
        <v>0</v>
      </c>
      <c r="P95" s="392">
        <f t="shared" si="25"/>
        <v>0</v>
      </c>
      <c r="Q95" s="392">
        <f t="shared" si="25"/>
        <v>111203.84</v>
      </c>
      <c r="R95" s="392">
        <f t="shared" si="25"/>
        <v>0</v>
      </c>
      <c r="S95" s="392">
        <f t="shared" si="25"/>
        <v>0</v>
      </c>
      <c r="U95" s="392">
        <f t="shared" si="17"/>
        <v>0</v>
      </c>
      <c r="V95" s="392">
        <f t="shared" si="17"/>
        <v>0</v>
      </c>
      <c r="W95" s="392">
        <f t="shared" si="17"/>
        <v>88873.68</v>
      </c>
      <c r="X95" s="392">
        <f t="shared" si="17"/>
        <v>0</v>
      </c>
      <c r="Y95" s="392">
        <f t="shared" si="17"/>
        <v>0</v>
      </c>
      <c r="AA95" s="392">
        <f t="shared" si="18"/>
        <v>0</v>
      </c>
      <c r="AB95" s="392">
        <f t="shared" si="18"/>
        <v>0</v>
      </c>
      <c r="AC95" s="392">
        <f t="shared" si="18"/>
        <v>3706.79</v>
      </c>
      <c r="AD95" s="392">
        <f t="shared" si="18"/>
        <v>0</v>
      </c>
      <c r="AE95" s="392">
        <f t="shared" si="18"/>
        <v>0</v>
      </c>
      <c r="AG95" s="409">
        <f t="shared" si="22"/>
        <v>0</v>
      </c>
      <c r="AH95" s="409">
        <f t="shared" si="22"/>
        <v>0</v>
      </c>
      <c r="AI95" s="409">
        <f t="shared" si="22"/>
        <v>1</v>
      </c>
      <c r="AJ95" s="409">
        <f t="shared" si="22"/>
        <v>0</v>
      </c>
      <c r="AK95" s="409">
        <f t="shared" si="22"/>
        <v>0</v>
      </c>
      <c r="AN95" s="391">
        <v>111203.84</v>
      </c>
      <c r="AO95" s="423">
        <f t="shared" si="20"/>
        <v>0</v>
      </c>
    </row>
    <row r="96" spans="1:41">
      <c r="A96" s="391" t="s">
        <v>682</v>
      </c>
      <c r="B96" s="408">
        <v>33772</v>
      </c>
      <c r="C96" s="391" t="s">
        <v>723</v>
      </c>
      <c r="D96" s="391" t="s">
        <v>724</v>
      </c>
      <c r="E96" s="391" t="s">
        <v>539</v>
      </c>
      <c r="F96" s="391" t="s">
        <v>540</v>
      </c>
      <c r="G96" s="391">
        <v>8</v>
      </c>
      <c r="H96" s="392">
        <v>1089</v>
      </c>
      <c r="I96" s="392">
        <v>1089</v>
      </c>
      <c r="J96" s="392">
        <v>0</v>
      </c>
      <c r="K96" s="391" t="s">
        <v>515</v>
      </c>
      <c r="L96" s="391" t="s">
        <v>515</v>
      </c>
      <c r="O96" s="392">
        <f t="shared" si="25"/>
        <v>0</v>
      </c>
      <c r="P96" s="392">
        <f t="shared" si="25"/>
        <v>0</v>
      </c>
      <c r="Q96" s="392">
        <f t="shared" si="25"/>
        <v>0</v>
      </c>
      <c r="R96" s="392">
        <f t="shared" si="25"/>
        <v>1089</v>
      </c>
      <c r="S96" s="392">
        <f t="shared" si="25"/>
        <v>0</v>
      </c>
      <c r="U96" s="392">
        <f t="shared" ref="U96:Y145" si="26">$I96*AG96</f>
        <v>0</v>
      </c>
      <c r="V96" s="392">
        <f t="shared" si="26"/>
        <v>0</v>
      </c>
      <c r="W96" s="392">
        <f t="shared" si="26"/>
        <v>0</v>
      </c>
      <c r="X96" s="392">
        <f t="shared" si="26"/>
        <v>1089</v>
      </c>
      <c r="Y96" s="392">
        <f t="shared" si="26"/>
        <v>0</v>
      </c>
      <c r="AA96" s="392">
        <f t="shared" ref="AA96:AE145" si="27">$J96*AG96</f>
        <v>0</v>
      </c>
      <c r="AB96" s="392">
        <f t="shared" si="27"/>
        <v>0</v>
      </c>
      <c r="AC96" s="392">
        <f t="shared" si="27"/>
        <v>0</v>
      </c>
      <c r="AD96" s="392">
        <f t="shared" si="27"/>
        <v>0</v>
      </c>
      <c r="AE96" s="392">
        <f t="shared" si="27"/>
        <v>0</v>
      </c>
      <c r="AG96" s="409">
        <f t="shared" ref="AG96:AK114" si="28">IF($H96=0,0,O96/$H96)</f>
        <v>0</v>
      </c>
      <c r="AH96" s="409">
        <f t="shared" si="28"/>
        <v>0</v>
      </c>
      <c r="AI96" s="409">
        <f t="shared" si="28"/>
        <v>0</v>
      </c>
      <c r="AJ96" s="409">
        <f t="shared" si="28"/>
        <v>1</v>
      </c>
      <c r="AK96" s="409">
        <f t="shared" si="28"/>
        <v>0</v>
      </c>
      <c r="AN96" s="391">
        <v>1089</v>
      </c>
      <c r="AO96" s="423">
        <f t="shared" si="20"/>
        <v>0</v>
      </c>
    </row>
    <row r="97" spans="1:41">
      <c r="A97" s="391" t="s">
        <v>682</v>
      </c>
      <c r="B97" s="408">
        <v>33772</v>
      </c>
      <c r="C97" s="391" t="s">
        <v>723</v>
      </c>
      <c r="D97" s="391" t="s">
        <v>725</v>
      </c>
      <c r="E97" s="391" t="s">
        <v>539</v>
      </c>
      <c r="F97" s="391" t="s">
        <v>540</v>
      </c>
      <c r="G97" s="391">
        <v>8</v>
      </c>
      <c r="H97" s="392">
        <v>1089</v>
      </c>
      <c r="I97" s="392">
        <v>1089</v>
      </c>
      <c r="J97" s="392">
        <v>0</v>
      </c>
      <c r="K97" s="391" t="s">
        <v>515</v>
      </c>
      <c r="L97" s="391" t="s">
        <v>515</v>
      </c>
      <c r="O97" s="392">
        <f t="shared" si="25"/>
        <v>0</v>
      </c>
      <c r="P97" s="392">
        <f t="shared" si="25"/>
        <v>0</v>
      </c>
      <c r="Q97" s="392">
        <f t="shared" si="25"/>
        <v>0</v>
      </c>
      <c r="R97" s="392">
        <f t="shared" si="25"/>
        <v>1089</v>
      </c>
      <c r="S97" s="392">
        <f t="shared" si="25"/>
        <v>0</v>
      </c>
      <c r="U97" s="392">
        <f t="shared" si="26"/>
        <v>0</v>
      </c>
      <c r="V97" s="392">
        <f t="shared" si="26"/>
        <v>0</v>
      </c>
      <c r="W97" s="392">
        <f t="shared" si="26"/>
        <v>0</v>
      </c>
      <c r="X97" s="392">
        <f t="shared" si="26"/>
        <v>1089</v>
      </c>
      <c r="Y97" s="392">
        <f t="shared" si="26"/>
        <v>0</v>
      </c>
      <c r="AA97" s="392">
        <f t="shared" si="27"/>
        <v>0</v>
      </c>
      <c r="AB97" s="392">
        <f t="shared" si="27"/>
        <v>0</v>
      </c>
      <c r="AC97" s="392">
        <f t="shared" si="27"/>
        <v>0</v>
      </c>
      <c r="AD97" s="392">
        <f t="shared" si="27"/>
        <v>0</v>
      </c>
      <c r="AE97" s="392">
        <f t="shared" si="27"/>
        <v>0</v>
      </c>
      <c r="AG97" s="409">
        <f t="shared" si="28"/>
        <v>0</v>
      </c>
      <c r="AH97" s="409">
        <f t="shared" si="28"/>
        <v>0</v>
      </c>
      <c r="AI97" s="409">
        <f t="shared" si="28"/>
        <v>0</v>
      </c>
      <c r="AJ97" s="409">
        <f t="shared" si="28"/>
        <v>1</v>
      </c>
      <c r="AK97" s="409">
        <f t="shared" si="28"/>
        <v>0</v>
      </c>
      <c r="AN97" s="391">
        <v>1089</v>
      </c>
      <c r="AO97" s="423">
        <f t="shared" si="20"/>
        <v>0</v>
      </c>
    </row>
    <row r="98" spans="1:41">
      <c r="A98" s="391" t="s">
        <v>632</v>
      </c>
      <c r="B98" s="408">
        <v>33808</v>
      </c>
      <c r="C98" s="391" t="s">
        <v>726</v>
      </c>
      <c r="D98" s="391" t="s">
        <v>727</v>
      </c>
      <c r="E98" s="391" t="s">
        <v>539</v>
      </c>
      <c r="F98" s="391" t="s">
        <v>540</v>
      </c>
      <c r="G98" s="391">
        <v>5</v>
      </c>
      <c r="H98" s="392">
        <v>2888.99</v>
      </c>
      <c r="I98" s="392">
        <v>2888.99</v>
      </c>
      <c r="J98" s="392">
        <v>0</v>
      </c>
      <c r="K98" s="391" t="s">
        <v>515</v>
      </c>
      <c r="L98" s="391" t="s">
        <v>515</v>
      </c>
      <c r="O98" s="392">
        <f t="shared" si="25"/>
        <v>0</v>
      </c>
      <c r="P98" s="392">
        <f t="shared" si="25"/>
        <v>0</v>
      </c>
      <c r="Q98" s="392">
        <f t="shared" si="25"/>
        <v>0</v>
      </c>
      <c r="R98" s="392">
        <f t="shared" si="25"/>
        <v>2888.99</v>
      </c>
      <c r="S98" s="392">
        <f t="shared" si="25"/>
        <v>0</v>
      </c>
      <c r="U98" s="392">
        <f t="shared" si="26"/>
        <v>0</v>
      </c>
      <c r="V98" s="392">
        <f t="shared" si="26"/>
        <v>0</v>
      </c>
      <c r="W98" s="392">
        <f t="shared" si="26"/>
        <v>0</v>
      </c>
      <c r="X98" s="392">
        <f t="shared" si="26"/>
        <v>2888.99</v>
      </c>
      <c r="Y98" s="392">
        <f t="shared" si="26"/>
        <v>0</v>
      </c>
      <c r="AA98" s="392">
        <f t="shared" si="27"/>
        <v>0</v>
      </c>
      <c r="AB98" s="392">
        <f t="shared" si="27"/>
        <v>0</v>
      </c>
      <c r="AC98" s="392">
        <f t="shared" si="27"/>
        <v>0</v>
      </c>
      <c r="AD98" s="392">
        <f t="shared" si="27"/>
        <v>0</v>
      </c>
      <c r="AE98" s="392">
        <f t="shared" si="27"/>
        <v>0</v>
      </c>
      <c r="AG98" s="409">
        <f t="shared" si="28"/>
        <v>0</v>
      </c>
      <c r="AH98" s="409">
        <f t="shared" si="28"/>
        <v>0</v>
      </c>
      <c r="AI98" s="409">
        <f t="shared" si="28"/>
        <v>0</v>
      </c>
      <c r="AJ98" s="409">
        <f t="shared" si="28"/>
        <v>1</v>
      </c>
      <c r="AK98" s="409">
        <f t="shared" si="28"/>
        <v>0</v>
      </c>
      <c r="AN98" s="391">
        <v>2888.99</v>
      </c>
      <c r="AO98" s="423">
        <f t="shared" si="20"/>
        <v>0</v>
      </c>
    </row>
    <row r="99" spans="1:41">
      <c r="A99" s="391" t="s">
        <v>682</v>
      </c>
      <c r="B99" s="408">
        <v>33808</v>
      </c>
      <c r="C99" s="391" t="s">
        <v>723</v>
      </c>
      <c r="D99" s="391" t="s">
        <v>728</v>
      </c>
      <c r="E99" s="391" t="s">
        <v>539</v>
      </c>
      <c r="F99" s="391" t="s">
        <v>540</v>
      </c>
      <c r="G99" s="391">
        <v>8</v>
      </c>
      <c r="H99" s="392">
        <v>1089</v>
      </c>
      <c r="I99" s="392">
        <v>1089</v>
      </c>
      <c r="J99" s="392">
        <v>0</v>
      </c>
      <c r="K99" s="391" t="s">
        <v>515</v>
      </c>
      <c r="L99" s="391" t="s">
        <v>515</v>
      </c>
      <c r="O99" s="392">
        <f t="shared" si="25"/>
        <v>0</v>
      </c>
      <c r="P99" s="392">
        <f t="shared" si="25"/>
        <v>0</v>
      </c>
      <c r="Q99" s="392">
        <f t="shared" si="25"/>
        <v>0</v>
      </c>
      <c r="R99" s="392">
        <f t="shared" si="25"/>
        <v>1089</v>
      </c>
      <c r="S99" s="392">
        <f t="shared" si="25"/>
        <v>0</v>
      </c>
      <c r="U99" s="392">
        <f t="shared" si="26"/>
        <v>0</v>
      </c>
      <c r="V99" s="392">
        <f t="shared" si="26"/>
        <v>0</v>
      </c>
      <c r="W99" s="392">
        <f t="shared" si="26"/>
        <v>0</v>
      </c>
      <c r="X99" s="392">
        <f t="shared" si="26"/>
        <v>1089</v>
      </c>
      <c r="Y99" s="392">
        <f t="shared" si="26"/>
        <v>0</v>
      </c>
      <c r="AA99" s="392">
        <f t="shared" si="27"/>
        <v>0</v>
      </c>
      <c r="AB99" s="392">
        <f t="shared" si="27"/>
        <v>0</v>
      </c>
      <c r="AC99" s="392">
        <f t="shared" si="27"/>
        <v>0</v>
      </c>
      <c r="AD99" s="392">
        <f t="shared" si="27"/>
        <v>0</v>
      </c>
      <c r="AE99" s="392">
        <f t="shared" si="27"/>
        <v>0</v>
      </c>
      <c r="AG99" s="409">
        <f t="shared" si="28"/>
        <v>0</v>
      </c>
      <c r="AH99" s="409">
        <f t="shared" si="28"/>
        <v>0</v>
      </c>
      <c r="AI99" s="409">
        <f t="shared" si="28"/>
        <v>0</v>
      </c>
      <c r="AJ99" s="409">
        <f t="shared" si="28"/>
        <v>1</v>
      </c>
      <c r="AK99" s="409">
        <f t="shared" si="28"/>
        <v>0</v>
      </c>
      <c r="AN99" s="391">
        <v>1089</v>
      </c>
      <c r="AO99" s="423">
        <f t="shared" si="20"/>
        <v>0</v>
      </c>
    </row>
    <row r="100" spans="1:41">
      <c r="A100" s="391" t="s">
        <v>632</v>
      </c>
      <c r="B100" s="408">
        <v>33841</v>
      </c>
      <c r="C100" s="391" t="s">
        <v>729</v>
      </c>
      <c r="D100" s="391" t="s">
        <v>730</v>
      </c>
      <c r="E100" s="391" t="s">
        <v>539</v>
      </c>
      <c r="F100" s="391" t="s">
        <v>540</v>
      </c>
      <c r="G100" s="391">
        <v>5</v>
      </c>
      <c r="H100" s="392">
        <v>18009.02</v>
      </c>
      <c r="I100" s="392">
        <v>18009.02</v>
      </c>
      <c r="J100" s="392">
        <v>0</v>
      </c>
      <c r="K100" s="391" t="s">
        <v>515</v>
      </c>
      <c r="L100" s="391" t="s">
        <v>515</v>
      </c>
      <c r="O100" s="392">
        <f t="shared" si="25"/>
        <v>0</v>
      </c>
      <c r="P100" s="392">
        <f t="shared" si="25"/>
        <v>0</v>
      </c>
      <c r="Q100" s="392">
        <f t="shared" si="25"/>
        <v>0</v>
      </c>
      <c r="R100" s="392">
        <f t="shared" si="25"/>
        <v>18009.02</v>
      </c>
      <c r="S100" s="392">
        <f t="shared" si="25"/>
        <v>0</v>
      </c>
      <c r="U100" s="392">
        <f t="shared" si="26"/>
        <v>0</v>
      </c>
      <c r="V100" s="392">
        <f t="shared" si="26"/>
        <v>0</v>
      </c>
      <c r="W100" s="392">
        <f t="shared" si="26"/>
        <v>0</v>
      </c>
      <c r="X100" s="392">
        <f t="shared" si="26"/>
        <v>18009.02</v>
      </c>
      <c r="Y100" s="392">
        <f t="shared" si="26"/>
        <v>0</v>
      </c>
      <c r="AA100" s="392">
        <f t="shared" si="27"/>
        <v>0</v>
      </c>
      <c r="AB100" s="392">
        <f t="shared" si="27"/>
        <v>0</v>
      </c>
      <c r="AC100" s="392">
        <f t="shared" si="27"/>
        <v>0</v>
      </c>
      <c r="AD100" s="392">
        <f t="shared" si="27"/>
        <v>0</v>
      </c>
      <c r="AE100" s="392">
        <f t="shared" si="27"/>
        <v>0</v>
      </c>
      <c r="AG100" s="409">
        <f t="shared" si="28"/>
        <v>0</v>
      </c>
      <c r="AH100" s="409">
        <f t="shared" si="28"/>
        <v>0</v>
      </c>
      <c r="AI100" s="409">
        <f t="shared" si="28"/>
        <v>0</v>
      </c>
      <c r="AJ100" s="409">
        <f t="shared" si="28"/>
        <v>1</v>
      </c>
      <c r="AK100" s="409">
        <f t="shared" si="28"/>
        <v>0</v>
      </c>
      <c r="AN100" s="391">
        <v>18009.02</v>
      </c>
      <c r="AO100" s="423">
        <f t="shared" si="20"/>
        <v>0</v>
      </c>
    </row>
    <row r="101" spans="1:41">
      <c r="A101" s="391" t="s">
        <v>632</v>
      </c>
      <c r="B101" s="408">
        <v>33872</v>
      </c>
      <c r="C101" s="391" t="s">
        <v>731</v>
      </c>
      <c r="D101" s="391" t="s">
        <v>732</v>
      </c>
      <c r="E101" s="391" t="s">
        <v>539</v>
      </c>
      <c r="F101" s="391" t="s">
        <v>540</v>
      </c>
      <c r="G101" s="391">
        <v>5</v>
      </c>
      <c r="H101" s="392">
        <v>2245</v>
      </c>
      <c r="I101" s="392">
        <v>2245</v>
      </c>
      <c r="J101" s="392">
        <v>0</v>
      </c>
      <c r="K101" s="391" t="s">
        <v>515</v>
      </c>
      <c r="L101" s="391" t="s">
        <v>515</v>
      </c>
      <c r="O101" s="392">
        <f t="shared" si="25"/>
        <v>0</v>
      </c>
      <c r="P101" s="392">
        <f t="shared" si="25"/>
        <v>0</v>
      </c>
      <c r="Q101" s="392">
        <f t="shared" si="25"/>
        <v>0</v>
      </c>
      <c r="R101" s="392">
        <f t="shared" si="25"/>
        <v>2245</v>
      </c>
      <c r="S101" s="392">
        <f t="shared" si="25"/>
        <v>0</v>
      </c>
      <c r="U101" s="392">
        <f t="shared" si="26"/>
        <v>0</v>
      </c>
      <c r="V101" s="392">
        <f t="shared" si="26"/>
        <v>0</v>
      </c>
      <c r="W101" s="392">
        <f t="shared" si="26"/>
        <v>0</v>
      </c>
      <c r="X101" s="392">
        <f t="shared" si="26"/>
        <v>2245</v>
      </c>
      <c r="Y101" s="392">
        <f t="shared" si="26"/>
        <v>0</v>
      </c>
      <c r="AA101" s="392">
        <f t="shared" si="27"/>
        <v>0</v>
      </c>
      <c r="AB101" s="392">
        <f t="shared" si="27"/>
        <v>0</v>
      </c>
      <c r="AC101" s="392">
        <f t="shared" si="27"/>
        <v>0</v>
      </c>
      <c r="AD101" s="392">
        <f t="shared" si="27"/>
        <v>0</v>
      </c>
      <c r="AE101" s="392">
        <f t="shared" si="27"/>
        <v>0</v>
      </c>
      <c r="AG101" s="409">
        <f t="shared" si="28"/>
        <v>0</v>
      </c>
      <c r="AH101" s="409">
        <f t="shared" si="28"/>
        <v>0</v>
      </c>
      <c r="AI101" s="409">
        <f t="shared" si="28"/>
        <v>0</v>
      </c>
      <c r="AJ101" s="409">
        <f t="shared" si="28"/>
        <v>1</v>
      </c>
      <c r="AK101" s="409">
        <f t="shared" si="28"/>
        <v>0</v>
      </c>
      <c r="AN101" s="391">
        <v>2245</v>
      </c>
      <c r="AO101" s="423">
        <f t="shared" si="20"/>
        <v>0</v>
      </c>
    </row>
    <row r="102" spans="1:41">
      <c r="A102" s="391" t="s">
        <v>585</v>
      </c>
      <c r="B102" s="408">
        <v>33884</v>
      </c>
      <c r="C102" s="391" t="s">
        <v>733</v>
      </c>
      <c r="D102" s="391" t="s">
        <v>734</v>
      </c>
      <c r="E102" s="391" t="s">
        <v>539</v>
      </c>
      <c r="F102" s="391" t="s">
        <v>540</v>
      </c>
      <c r="G102" s="391">
        <v>30</v>
      </c>
      <c r="H102" s="392">
        <v>1138.25</v>
      </c>
      <c r="I102" s="392">
        <v>1075.5700000000002</v>
      </c>
      <c r="J102" s="392">
        <v>37.94</v>
      </c>
      <c r="K102" s="391" t="s">
        <v>505</v>
      </c>
      <c r="L102" s="391" t="s">
        <v>505</v>
      </c>
      <c r="O102" s="392">
        <f t="shared" si="25"/>
        <v>0</v>
      </c>
      <c r="P102" s="392">
        <f t="shared" si="25"/>
        <v>0</v>
      </c>
      <c r="Q102" s="392">
        <f t="shared" si="25"/>
        <v>1138.25</v>
      </c>
      <c r="R102" s="392">
        <f t="shared" si="25"/>
        <v>0</v>
      </c>
      <c r="S102" s="392">
        <f t="shared" si="25"/>
        <v>0</v>
      </c>
      <c r="U102" s="392">
        <f t="shared" si="26"/>
        <v>0</v>
      </c>
      <c r="V102" s="392">
        <f t="shared" si="26"/>
        <v>0</v>
      </c>
      <c r="W102" s="392">
        <f t="shared" si="26"/>
        <v>1075.5700000000002</v>
      </c>
      <c r="X102" s="392">
        <f t="shared" si="26"/>
        <v>0</v>
      </c>
      <c r="Y102" s="392">
        <f t="shared" si="26"/>
        <v>0</v>
      </c>
      <c r="AA102" s="392">
        <f t="shared" si="27"/>
        <v>0</v>
      </c>
      <c r="AB102" s="392">
        <f t="shared" si="27"/>
        <v>0</v>
      </c>
      <c r="AC102" s="392">
        <f t="shared" si="27"/>
        <v>37.94</v>
      </c>
      <c r="AD102" s="392">
        <f t="shared" si="27"/>
        <v>0</v>
      </c>
      <c r="AE102" s="392">
        <f t="shared" si="27"/>
        <v>0</v>
      </c>
      <c r="AG102" s="409">
        <f t="shared" si="28"/>
        <v>0</v>
      </c>
      <c r="AH102" s="409">
        <f t="shared" si="28"/>
        <v>0</v>
      </c>
      <c r="AI102" s="409">
        <f t="shared" si="28"/>
        <v>1</v>
      </c>
      <c r="AJ102" s="409">
        <f t="shared" si="28"/>
        <v>0</v>
      </c>
      <c r="AK102" s="409">
        <f t="shared" si="28"/>
        <v>0</v>
      </c>
      <c r="AN102" s="391">
        <v>1138.25</v>
      </c>
      <c r="AO102" s="423">
        <f t="shared" si="20"/>
        <v>0</v>
      </c>
    </row>
    <row r="103" spans="1:41">
      <c r="A103" s="391" t="s">
        <v>632</v>
      </c>
      <c r="B103" s="408">
        <v>33918</v>
      </c>
      <c r="C103" s="391" t="s">
        <v>735</v>
      </c>
      <c r="D103" s="391" t="s">
        <v>736</v>
      </c>
      <c r="E103" s="391" t="s">
        <v>539</v>
      </c>
      <c r="F103" s="391" t="s">
        <v>540</v>
      </c>
      <c r="G103" s="391">
        <v>8</v>
      </c>
      <c r="H103" s="392">
        <v>1196.54</v>
      </c>
      <c r="I103" s="392">
        <v>1196.54</v>
      </c>
      <c r="J103" s="392">
        <v>0</v>
      </c>
      <c r="K103" s="391" t="s">
        <v>515</v>
      </c>
      <c r="L103" s="391" t="s">
        <v>515</v>
      </c>
      <c r="O103" s="392">
        <f t="shared" si="25"/>
        <v>0</v>
      </c>
      <c r="P103" s="392">
        <f t="shared" si="25"/>
        <v>0</v>
      </c>
      <c r="Q103" s="392">
        <f t="shared" si="25"/>
        <v>0</v>
      </c>
      <c r="R103" s="392">
        <f t="shared" si="25"/>
        <v>1196.54</v>
      </c>
      <c r="S103" s="392">
        <f t="shared" si="25"/>
        <v>0</v>
      </c>
      <c r="U103" s="392">
        <f t="shared" si="26"/>
        <v>0</v>
      </c>
      <c r="V103" s="392">
        <f t="shared" si="26"/>
        <v>0</v>
      </c>
      <c r="W103" s="392">
        <f t="shared" si="26"/>
        <v>0</v>
      </c>
      <c r="X103" s="392">
        <f t="shared" si="26"/>
        <v>1196.54</v>
      </c>
      <c r="Y103" s="392">
        <f t="shared" si="26"/>
        <v>0</v>
      </c>
      <c r="AA103" s="392">
        <f t="shared" si="27"/>
        <v>0</v>
      </c>
      <c r="AB103" s="392">
        <f t="shared" si="27"/>
        <v>0</v>
      </c>
      <c r="AC103" s="392">
        <f t="shared" si="27"/>
        <v>0</v>
      </c>
      <c r="AD103" s="392">
        <f t="shared" si="27"/>
        <v>0</v>
      </c>
      <c r="AE103" s="392">
        <f t="shared" si="27"/>
        <v>0</v>
      </c>
      <c r="AG103" s="409">
        <f t="shared" si="28"/>
        <v>0</v>
      </c>
      <c r="AH103" s="409">
        <f t="shared" si="28"/>
        <v>0</v>
      </c>
      <c r="AI103" s="409">
        <f t="shared" si="28"/>
        <v>0</v>
      </c>
      <c r="AJ103" s="409">
        <f t="shared" si="28"/>
        <v>1</v>
      </c>
      <c r="AK103" s="409">
        <f t="shared" si="28"/>
        <v>0</v>
      </c>
      <c r="AN103" s="391">
        <v>1196.54</v>
      </c>
      <c r="AO103" s="423">
        <f t="shared" si="20"/>
        <v>0</v>
      </c>
    </row>
    <row r="104" spans="1:41">
      <c r="A104" s="391" t="s">
        <v>632</v>
      </c>
      <c r="B104" s="408">
        <v>33956</v>
      </c>
      <c r="C104" s="391" t="s">
        <v>737</v>
      </c>
      <c r="D104" s="391" t="s">
        <v>738</v>
      </c>
      <c r="E104" s="391" t="s">
        <v>539</v>
      </c>
      <c r="F104" s="391" t="s">
        <v>540</v>
      </c>
      <c r="G104" s="391">
        <v>5</v>
      </c>
      <c r="H104" s="392">
        <v>916.87</v>
      </c>
      <c r="I104" s="392">
        <v>916.87</v>
      </c>
      <c r="J104" s="392">
        <v>0</v>
      </c>
      <c r="K104" s="391" t="s">
        <v>515</v>
      </c>
      <c r="L104" s="391" t="s">
        <v>515</v>
      </c>
      <c r="O104" s="392">
        <f t="shared" ref="O104:S114" si="29">IF(O$8=$K104,$H104,0)</f>
        <v>0</v>
      </c>
      <c r="P104" s="392">
        <f t="shared" si="29"/>
        <v>0</v>
      </c>
      <c r="Q104" s="392">
        <f t="shared" si="29"/>
        <v>0</v>
      </c>
      <c r="R104" s="392">
        <f t="shared" si="29"/>
        <v>916.87</v>
      </c>
      <c r="S104" s="392">
        <f t="shared" si="29"/>
        <v>0</v>
      </c>
      <c r="U104" s="392">
        <f t="shared" si="26"/>
        <v>0</v>
      </c>
      <c r="V104" s="392">
        <f t="shared" si="26"/>
        <v>0</v>
      </c>
      <c r="W104" s="392">
        <f t="shared" si="26"/>
        <v>0</v>
      </c>
      <c r="X104" s="392">
        <f t="shared" si="26"/>
        <v>916.87</v>
      </c>
      <c r="Y104" s="392">
        <f t="shared" si="26"/>
        <v>0</v>
      </c>
      <c r="AA104" s="392">
        <f t="shared" si="27"/>
        <v>0</v>
      </c>
      <c r="AB104" s="392">
        <f t="shared" si="27"/>
        <v>0</v>
      </c>
      <c r="AC104" s="392">
        <f t="shared" si="27"/>
        <v>0</v>
      </c>
      <c r="AD104" s="392">
        <f t="shared" si="27"/>
        <v>0</v>
      </c>
      <c r="AE104" s="392">
        <f t="shared" si="27"/>
        <v>0</v>
      </c>
      <c r="AG104" s="409">
        <f t="shared" si="28"/>
        <v>0</v>
      </c>
      <c r="AH104" s="409">
        <f t="shared" si="28"/>
        <v>0</v>
      </c>
      <c r="AI104" s="409">
        <f t="shared" si="28"/>
        <v>0</v>
      </c>
      <c r="AJ104" s="409">
        <f t="shared" si="28"/>
        <v>1</v>
      </c>
      <c r="AK104" s="409">
        <f t="shared" si="28"/>
        <v>0</v>
      </c>
      <c r="AN104" s="391">
        <v>916.87</v>
      </c>
      <c r="AO104" s="423">
        <f t="shared" si="20"/>
        <v>0</v>
      </c>
    </row>
    <row r="105" spans="1:41">
      <c r="A105" s="391" t="s">
        <v>682</v>
      </c>
      <c r="B105" s="408">
        <v>34018</v>
      </c>
      <c r="C105" s="391" t="s">
        <v>739</v>
      </c>
      <c r="D105" s="391" t="s">
        <v>740</v>
      </c>
      <c r="E105" s="391" t="s">
        <v>539</v>
      </c>
      <c r="F105" s="391" t="s">
        <v>540</v>
      </c>
      <c r="G105" s="391">
        <v>8</v>
      </c>
      <c r="H105" s="392">
        <v>4639.58</v>
      </c>
      <c r="I105" s="392">
        <v>4639.58</v>
      </c>
      <c r="J105" s="392">
        <v>0</v>
      </c>
      <c r="K105" s="391" t="s">
        <v>515</v>
      </c>
      <c r="L105" s="391" t="s">
        <v>515</v>
      </c>
      <c r="O105" s="392">
        <f t="shared" si="29"/>
        <v>0</v>
      </c>
      <c r="P105" s="392">
        <f t="shared" si="29"/>
        <v>0</v>
      </c>
      <c r="Q105" s="392">
        <f t="shared" si="29"/>
        <v>0</v>
      </c>
      <c r="R105" s="392">
        <f t="shared" si="29"/>
        <v>4639.58</v>
      </c>
      <c r="S105" s="392">
        <f t="shared" si="29"/>
        <v>0</v>
      </c>
      <c r="U105" s="392">
        <f t="shared" si="26"/>
        <v>0</v>
      </c>
      <c r="V105" s="392">
        <f t="shared" si="26"/>
        <v>0</v>
      </c>
      <c r="W105" s="392">
        <f t="shared" si="26"/>
        <v>0</v>
      </c>
      <c r="X105" s="392">
        <f t="shared" si="26"/>
        <v>4639.58</v>
      </c>
      <c r="Y105" s="392">
        <f t="shared" si="26"/>
        <v>0</v>
      </c>
      <c r="AA105" s="392">
        <f t="shared" si="27"/>
        <v>0</v>
      </c>
      <c r="AB105" s="392">
        <f t="shared" si="27"/>
        <v>0</v>
      </c>
      <c r="AC105" s="392">
        <f t="shared" si="27"/>
        <v>0</v>
      </c>
      <c r="AD105" s="392">
        <f t="shared" si="27"/>
        <v>0</v>
      </c>
      <c r="AE105" s="392">
        <f t="shared" si="27"/>
        <v>0</v>
      </c>
      <c r="AG105" s="409">
        <f t="shared" si="28"/>
        <v>0</v>
      </c>
      <c r="AH105" s="409">
        <f t="shared" si="28"/>
        <v>0</v>
      </c>
      <c r="AI105" s="409">
        <f t="shared" si="28"/>
        <v>0</v>
      </c>
      <c r="AJ105" s="409">
        <f t="shared" si="28"/>
        <v>1</v>
      </c>
      <c r="AK105" s="409">
        <f t="shared" si="28"/>
        <v>0</v>
      </c>
      <c r="AN105" s="391">
        <v>4639.58</v>
      </c>
      <c r="AO105" s="423">
        <f t="shared" si="20"/>
        <v>0</v>
      </c>
    </row>
    <row r="106" spans="1:41">
      <c r="A106" s="391" t="s">
        <v>682</v>
      </c>
      <c r="B106" s="408">
        <v>34018</v>
      </c>
      <c r="C106" s="391" t="s">
        <v>741</v>
      </c>
      <c r="D106" s="391" t="s">
        <v>742</v>
      </c>
      <c r="E106" s="391" t="s">
        <v>539</v>
      </c>
      <c r="F106" s="391" t="s">
        <v>540</v>
      </c>
      <c r="G106" s="391">
        <v>5</v>
      </c>
      <c r="H106" s="392">
        <v>660</v>
      </c>
      <c r="I106" s="392">
        <v>660</v>
      </c>
      <c r="J106" s="392">
        <v>0</v>
      </c>
      <c r="K106" s="391" t="s">
        <v>515</v>
      </c>
      <c r="L106" s="391" t="s">
        <v>515</v>
      </c>
      <c r="O106" s="392">
        <f t="shared" si="29"/>
        <v>0</v>
      </c>
      <c r="P106" s="392">
        <f t="shared" si="29"/>
        <v>0</v>
      </c>
      <c r="Q106" s="392">
        <f t="shared" si="29"/>
        <v>0</v>
      </c>
      <c r="R106" s="392">
        <f t="shared" si="29"/>
        <v>660</v>
      </c>
      <c r="S106" s="392">
        <f t="shared" si="29"/>
        <v>0</v>
      </c>
      <c r="U106" s="392">
        <f t="shared" si="26"/>
        <v>0</v>
      </c>
      <c r="V106" s="392">
        <f t="shared" si="26"/>
        <v>0</v>
      </c>
      <c r="W106" s="392">
        <f t="shared" si="26"/>
        <v>0</v>
      </c>
      <c r="X106" s="392">
        <f t="shared" si="26"/>
        <v>660</v>
      </c>
      <c r="Y106" s="392">
        <f t="shared" si="26"/>
        <v>0</v>
      </c>
      <c r="AA106" s="392">
        <f t="shared" si="27"/>
        <v>0</v>
      </c>
      <c r="AB106" s="392">
        <f t="shared" si="27"/>
        <v>0</v>
      </c>
      <c r="AC106" s="392">
        <f t="shared" si="27"/>
        <v>0</v>
      </c>
      <c r="AD106" s="392">
        <f t="shared" si="27"/>
        <v>0</v>
      </c>
      <c r="AE106" s="392">
        <f t="shared" si="27"/>
        <v>0</v>
      </c>
      <c r="AG106" s="409">
        <f t="shared" si="28"/>
        <v>0</v>
      </c>
      <c r="AH106" s="409">
        <f t="shared" si="28"/>
        <v>0</v>
      </c>
      <c r="AI106" s="409">
        <f t="shared" si="28"/>
        <v>0</v>
      </c>
      <c r="AJ106" s="409">
        <f t="shared" si="28"/>
        <v>1</v>
      </c>
      <c r="AK106" s="409">
        <f t="shared" si="28"/>
        <v>0</v>
      </c>
      <c r="AN106" s="391">
        <v>660</v>
      </c>
      <c r="AO106" s="423">
        <f t="shared" si="20"/>
        <v>0</v>
      </c>
    </row>
    <row r="107" spans="1:41">
      <c r="A107" s="391" t="s">
        <v>646</v>
      </c>
      <c r="B107" s="408">
        <v>34075</v>
      </c>
      <c r="C107" s="391" t="s">
        <v>743</v>
      </c>
      <c r="D107" s="391" t="s">
        <v>744</v>
      </c>
      <c r="E107" s="391" t="s">
        <v>539</v>
      </c>
      <c r="F107" s="391" t="s">
        <v>540</v>
      </c>
      <c r="G107" s="391">
        <v>8</v>
      </c>
      <c r="H107" s="392">
        <v>76677.34</v>
      </c>
      <c r="I107" s="392">
        <v>76677.34</v>
      </c>
      <c r="J107" s="392">
        <v>0</v>
      </c>
      <c r="K107" s="391" t="s">
        <v>515</v>
      </c>
      <c r="L107" s="391" t="s">
        <v>515</v>
      </c>
      <c r="O107" s="392">
        <f t="shared" si="29"/>
        <v>0</v>
      </c>
      <c r="P107" s="392">
        <f t="shared" si="29"/>
        <v>0</v>
      </c>
      <c r="Q107" s="392">
        <f t="shared" si="29"/>
        <v>0</v>
      </c>
      <c r="R107" s="392">
        <f t="shared" si="29"/>
        <v>76677.34</v>
      </c>
      <c r="S107" s="392">
        <f t="shared" si="29"/>
        <v>0</v>
      </c>
      <c r="U107" s="392">
        <f t="shared" si="26"/>
        <v>0</v>
      </c>
      <c r="V107" s="392">
        <f t="shared" si="26"/>
        <v>0</v>
      </c>
      <c r="W107" s="392">
        <f t="shared" si="26"/>
        <v>0</v>
      </c>
      <c r="X107" s="392">
        <f t="shared" si="26"/>
        <v>76677.34</v>
      </c>
      <c r="Y107" s="392">
        <f t="shared" si="26"/>
        <v>0</v>
      </c>
      <c r="AA107" s="392">
        <f t="shared" si="27"/>
        <v>0</v>
      </c>
      <c r="AB107" s="392">
        <f t="shared" si="27"/>
        <v>0</v>
      </c>
      <c r="AC107" s="392">
        <f t="shared" si="27"/>
        <v>0</v>
      </c>
      <c r="AD107" s="392">
        <f t="shared" si="27"/>
        <v>0</v>
      </c>
      <c r="AE107" s="392">
        <f t="shared" si="27"/>
        <v>0</v>
      </c>
      <c r="AG107" s="409">
        <f t="shared" si="28"/>
        <v>0</v>
      </c>
      <c r="AH107" s="409">
        <f t="shared" si="28"/>
        <v>0</v>
      </c>
      <c r="AI107" s="409">
        <f t="shared" si="28"/>
        <v>0</v>
      </c>
      <c r="AJ107" s="409">
        <f t="shared" si="28"/>
        <v>1</v>
      </c>
      <c r="AK107" s="409">
        <f t="shared" si="28"/>
        <v>0</v>
      </c>
      <c r="AN107" s="391">
        <v>76677.34</v>
      </c>
      <c r="AO107" s="423">
        <f t="shared" si="20"/>
        <v>0</v>
      </c>
    </row>
    <row r="108" spans="1:41">
      <c r="A108" s="391" t="s">
        <v>632</v>
      </c>
      <c r="B108" s="408">
        <v>34075</v>
      </c>
      <c r="C108" s="391" t="s">
        <v>745</v>
      </c>
      <c r="D108" s="391" t="s">
        <v>746</v>
      </c>
      <c r="E108" s="391" t="s">
        <v>539</v>
      </c>
      <c r="F108" s="391" t="s">
        <v>540</v>
      </c>
      <c r="G108" s="391">
        <v>8</v>
      </c>
      <c r="H108" s="392">
        <v>1608</v>
      </c>
      <c r="I108" s="392">
        <v>1608</v>
      </c>
      <c r="J108" s="392">
        <v>0</v>
      </c>
      <c r="K108" s="391" t="s">
        <v>515</v>
      </c>
      <c r="L108" s="391" t="s">
        <v>515</v>
      </c>
      <c r="O108" s="392">
        <f t="shared" si="29"/>
        <v>0</v>
      </c>
      <c r="P108" s="392">
        <f t="shared" si="29"/>
        <v>0</v>
      </c>
      <c r="Q108" s="392">
        <f t="shared" si="29"/>
        <v>0</v>
      </c>
      <c r="R108" s="392">
        <f t="shared" si="29"/>
        <v>1608</v>
      </c>
      <c r="S108" s="392">
        <f t="shared" si="29"/>
        <v>0</v>
      </c>
      <c r="U108" s="392">
        <f t="shared" si="26"/>
        <v>0</v>
      </c>
      <c r="V108" s="392">
        <f t="shared" si="26"/>
        <v>0</v>
      </c>
      <c r="W108" s="392">
        <f t="shared" si="26"/>
        <v>0</v>
      </c>
      <c r="X108" s="392">
        <f t="shared" si="26"/>
        <v>1608</v>
      </c>
      <c r="Y108" s="392">
        <f t="shared" si="26"/>
        <v>0</v>
      </c>
      <c r="AA108" s="392">
        <f t="shared" si="27"/>
        <v>0</v>
      </c>
      <c r="AB108" s="392">
        <f t="shared" si="27"/>
        <v>0</v>
      </c>
      <c r="AC108" s="392">
        <f t="shared" si="27"/>
        <v>0</v>
      </c>
      <c r="AD108" s="392">
        <f t="shared" si="27"/>
        <v>0</v>
      </c>
      <c r="AE108" s="392">
        <f t="shared" si="27"/>
        <v>0</v>
      </c>
      <c r="AG108" s="409">
        <f t="shared" si="28"/>
        <v>0</v>
      </c>
      <c r="AH108" s="409">
        <f t="shared" si="28"/>
        <v>0</v>
      </c>
      <c r="AI108" s="409">
        <f t="shared" si="28"/>
        <v>0</v>
      </c>
      <c r="AJ108" s="409">
        <f t="shared" si="28"/>
        <v>1</v>
      </c>
      <c r="AK108" s="409">
        <f t="shared" si="28"/>
        <v>0</v>
      </c>
      <c r="AN108" s="391">
        <v>1608</v>
      </c>
      <c r="AO108" s="423">
        <f t="shared" si="20"/>
        <v>0</v>
      </c>
    </row>
    <row r="109" spans="1:41">
      <c r="A109" s="391" t="s">
        <v>567</v>
      </c>
      <c r="B109" s="408">
        <v>34089</v>
      </c>
      <c r="C109" s="391" t="s">
        <v>747</v>
      </c>
      <c r="D109" s="391" t="s">
        <v>748</v>
      </c>
      <c r="E109" s="391" t="s">
        <v>539</v>
      </c>
      <c r="F109" s="391" t="s">
        <v>540</v>
      </c>
      <c r="G109" s="391">
        <v>30</v>
      </c>
      <c r="H109" s="392">
        <v>70872.67</v>
      </c>
      <c r="I109" s="392">
        <v>54286.27</v>
      </c>
      <c r="J109" s="392">
        <v>2362.42</v>
      </c>
      <c r="K109" s="391" t="s">
        <v>505</v>
      </c>
      <c r="L109" s="391" t="s">
        <v>505</v>
      </c>
      <c r="O109" s="392">
        <f t="shared" si="29"/>
        <v>0</v>
      </c>
      <c r="P109" s="392">
        <f t="shared" si="29"/>
        <v>0</v>
      </c>
      <c r="Q109" s="392">
        <f t="shared" si="29"/>
        <v>70872.67</v>
      </c>
      <c r="R109" s="392">
        <f t="shared" si="29"/>
        <v>0</v>
      </c>
      <c r="S109" s="392">
        <f t="shared" si="29"/>
        <v>0</v>
      </c>
      <c r="U109" s="392">
        <f t="shared" si="26"/>
        <v>0</v>
      </c>
      <c r="V109" s="392">
        <f t="shared" si="26"/>
        <v>0</v>
      </c>
      <c r="W109" s="392">
        <f t="shared" si="26"/>
        <v>54286.27</v>
      </c>
      <c r="X109" s="392">
        <f t="shared" si="26"/>
        <v>0</v>
      </c>
      <c r="Y109" s="392">
        <f t="shared" si="26"/>
        <v>0</v>
      </c>
      <c r="AA109" s="392">
        <f t="shared" si="27"/>
        <v>0</v>
      </c>
      <c r="AB109" s="392">
        <f t="shared" si="27"/>
        <v>0</v>
      </c>
      <c r="AC109" s="392">
        <f t="shared" si="27"/>
        <v>2362.42</v>
      </c>
      <c r="AD109" s="392">
        <f t="shared" si="27"/>
        <v>0</v>
      </c>
      <c r="AE109" s="392">
        <f t="shared" si="27"/>
        <v>0</v>
      </c>
      <c r="AG109" s="409">
        <f t="shared" si="28"/>
        <v>0</v>
      </c>
      <c r="AH109" s="409">
        <f t="shared" si="28"/>
        <v>0</v>
      </c>
      <c r="AI109" s="409">
        <f t="shared" si="28"/>
        <v>1</v>
      </c>
      <c r="AJ109" s="409">
        <f t="shared" si="28"/>
        <v>0</v>
      </c>
      <c r="AK109" s="409">
        <f t="shared" si="28"/>
        <v>0</v>
      </c>
      <c r="AN109" s="391">
        <v>70872.67</v>
      </c>
      <c r="AO109" s="423">
        <f t="shared" si="20"/>
        <v>0</v>
      </c>
    </row>
    <row r="110" spans="1:41">
      <c r="A110" s="391" t="s">
        <v>616</v>
      </c>
      <c r="B110" s="408">
        <v>34089</v>
      </c>
      <c r="C110" s="391" t="s">
        <v>749</v>
      </c>
      <c r="D110" s="391" t="s">
        <v>750</v>
      </c>
      <c r="E110" s="391" t="s">
        <v>539</v>
      </c>
      <c r="F110" s="391" t="s">
        <v>540</v>
      </c>
      <c r="G110" s="391">
        <v>25</v>
      </c>
      <c r="H110" s="392">
        <v>31223.75</v>
      </c>
      <c r="I110" s="392">
        <v>28697.34</v>
      </c>
      <c r="J110" s="392">
        <v>1248.95</v>
      </c>
      <c r="K110" s="391" t="s">
        <v>505</v>
      </c>
      <c r="L110" s="391" t="s">
        <v>505</v>
      </c>
      <c r="O110" s="392">
        <f t="shared" si="29"/>
        <v>0</v>
      </c>
      <c r="P110" s="392">
        <f t="shared" si="29"/>
        <v>0</v>
      </c>
      <c r="Q110" s="392">
        <f t="shared" si="29"/>
        <v>31223.75</v>
      </c>
      <c r="R110" s="392">
        <f t="shared" si="29"/>
        <v>0</v>
      </c>
      <c r="S110" s="392">
        <f t="shared" si="29"/>
        <v>0</v>
      </c>
      <c r="U110" s="392">
        <f t="shared" si="26"/>
        <v>0</v>
      </c>
      <c r="V110" s="392">
        <f t="shared" si="26"/>
        <v>0</v>
      </c>
      <c r="W110" s="392">
        <f t="shared" si="26"/>
        <v>28697.34</v>
      </c>
      <c r="X110" s="392">
        <f t="shared" si="26"/>
        <v>0</v>
      </c>
      <c r="Y110" s="392">
        <f t="shared" si="26"/>
        <v>0</v>
      </c>
      <c r="AA110" s="392">
        <f t="shared" si="27"/>
        <v>0</v>
      </c>
      <c r="AB110" s="392">
        <f t="shared" si="27"/>
        <v>0</v>
      </c>
      <c r="AC110" s="392">
        <f t="shared" si="27"/>
        <v>1248.95</v>
      </c>
      <c r="AD110" s="392">
        <f t="shared" si="27"/>
        <v>0</v>
      </c>
      <c r="AE110" s="392">
        <f t="shared" si="27"/>
        <v>0</v>
      </c>
      <c r="AG110" s="409">
        <f t="shared" si="28"/>
        <v>0</v>
      </c>
      <c r="AH110" s="409">
        <f t="shared" si="28"/>
        <v>0</v>
      </c>
      <c r="AI110" s="409">
        <f t="shared" si="28"/>
        <v>1</v>
      </c>
      <c r="AJ110" s="409">
        <f t="shared" si="28"/>
        <v>0</v>
      </c>
      <c r="AK110" s="409">
        <f t="shared" si="28"/>
        <v>0</v>
      </c>
      <c r="AN110" s="391">
        <v>31223.75</v>
      </c>
      <c r="AO110" s="423">
        <f t="shared" si="20"/>
        <v>0</v>
      </c>
    </row>
    <row r="111" spans="1:41">
      <c r="A111" s="391" t="s">
        <v>592</v>
      </c>
      <c r="B111" s="408">
        <v>34089</v>
      </c>
      <c r="C111" s="391" t="s">
        <v>751</v>
      </c>
      <c r="D111" s="391" t="s">
        <v>752</v>
      </c>
      <c r="E111" s="391" t="s">
        <v>539</v>
      </c>
      <c r="F111" s="391" t="s">
        <v>540</v>
      </c>
      <c r="G111" s="391">
        <v>30</v>
      </c>
      <c r="H111" s="392">
        <v>283948.25</v>
      </c>
      <c r="I111" s="392">
        <v>217467.71</v>
      </c>
      <c r="J111" s="392">
        <v>9464.94</v>
      </c>
      <c r="K111" s="391" t="s">
        <v>505</v>
      </c>
      <c r="L111" s="391" t="s">
        <v>505</v>
      </c>
      <c r="O111" s="392">
        <f t="shared" si="29"/>
        <v>0</v>
      </c>
      <c r="P111" s="392">
        <f t="shared" si="29"/>
        <v>0</v>
      </c>
      <c r="Q111" s="392">
        <f t="shared" si="29"/>
        <v>283948.25</v>
      </c>
      <c r="R111" s="392">
        <f t="shared" si="29"/>
        <v>0</v>
      </c>
      <c r="S111" s="392">
        <f t="shared" si="29"/>
        <v>0</v>
      </c>
      <c r="U111" s="392">
        <f t="shared" si="26"/>
        <v>0</v>
      </c>
      <c r="V111" s="392">
        <f t="shared" si="26"/>
        <v>0</v>
      </c>
      <c r="W111" s="392">
        <f t="shared" si="26"/>
        <v>217467.71</v>
      </c>
      <c r="X111" s="392">
        <f t="shared" si="26"/>
        <v>0</v>
      </c>
      <c r="Y111" s="392">
        <f t="shared" si="26"/>
        <v>0</v>
      </c>
      <c r="AA111" s="392">
        <f t="shared" si="27"/>
        <v>0</v>
      </c>
      <c r="AB111" s="392">
        <f t="shared" si="27"/>
        <v>0</v>
      </c>
      <c r="AC111" s="392">
        <f t="shared" si="27"/>
        <v>9464.94</v>
      </c>
      <c r="AD111" s="392">
        <f t="shared" si="27"/>
        <v>0</v>
      </c>
      <c r="AE111" s="392">
        <f t="shared" si="27"/>
        <v>0</v>
      </c>
      <c r="AG111" s="409">
        <f t="shared" si="28"/>
        <v>0</v>
      </c>
      <c r="AH111" s="409">
        <f t="shared" si="28"/>
        <v>0</v>
      </c>
      <c r="AI111" s="409">
        <f t="shared" si="28"/>
        <v>1</v>
      </c>
      <c r="AJ111" s="409">
        <f t="shared" si="28"/>
        <v>0</v>
      </c>
      <c r="AK111" s="409">
        <f t="shared" si="28"/>
        <v>0</v>
      </c>
      <c r="AN111" s="391">
        <v>283948.25</v>
      </c>
      <c r="AO111" s="423">
        <f t="shared" si="20"/>
        <v>0</v>
      </c>
    </row>
    <row r="112" spans="1:41">
      <c r="A112" s="391" t="s">
        <v>554</v>
      </c>
      <c r="B112" s="408">
        <v>34089</v>
      </c>
      <c r="C112" s="391" t="s">
        <v>753</v>
      </c>
      <c r="D112" s="391" t="s">
        <v>754</v>
      </c>
      <c r="E112" s="391" t="s">
        <v>539</v>
      </c>
      <c r="F112" s="391" t="s">
        <v>540</v>
      </c>
      <c r="G112" s="391">
        <v>30</v>
      </c>
      <c r="H112" s="392">
        <v>6306.34</v>
      </c>
      <c r="I112" s="392">
        <v>4832.74</v>
      </c>
      <c r="J112" s="392">
        <v>210.21</v>
      </c>
      <c r="K112" s="391" t="s">
        <v>505</v>
      </c>
      <c r="L112" s="391" t="s">
        <v>505</v>
      </c>
      <c r="O112" s="392">
        <f t="shared" si="29"/>
        <v>0</v>
      </c>
      <c r="P112" s="392">
        <f t="shared" si="29"/>
        <v>0</v>
      </c>
      <c r="Q112" s="392">
        <f t="shared" si="29"/>
        <v>6306.34</v>
      </c>
      <c r="R112" s="392">
        <f t="shared" si="29"/>
        <v>0</v>
      </c>
      <c r="S112" s="392">
        <f t="shared" si="29"/>
        <v>0</v>
      </c>
      <c r="U112" s="392">
        <f t="shared" si="26"/>
        <v>0</v>
      </c>
      <c r="V112" s="392">
        <f t="shared" si="26"/>
        <v>0</v>
      </c>
      <c r="W112" s="392">
        <f t="shared" si="26"/>
        <v>4832.74</v>
      </c>
      <c r="X112" s="392">
        <f t="shared" si="26"/>
        <v>0</v>
      </c>
      <c r="Y112" s="392">
        <f t="shared" si="26"/>
        <v>0</v>
      </c>
      <c r="AA112" s="392">
        <f t="shared" si="27"/>
        <v>0</v>
      </c>
      <c r="AB112" s="392">
        <f t="shared" si="27"/>
        <v>0</v>
      </c>
      <c r="AC112" s="392">
        <f t="shared" si="27"/>
        <v>210.21</v>
      </c>
      <c r="AD112" s="392">
        <f t="shared" si="27"/>
        <v>0</v>
      </c>
      <c r="AE112" s="392">
        <f t="shared" si="27"/>
        <v>0</v>
      </c>
      <c r="AG112" s="409">
        <f t="shared" si="28"/>
        <v>0</v>
      </c>
      <c r="AH112" s="409">
        <f t="shared" si="28"/>
        <v>0</v>
      </c>
      <c r="AI112" s="409">
        <f t="shared" si="28"/>
        <v>1</v>
      </c>
      <c r="AJ112" s="409">
        <f t="shared" si="28"/>
        <v>0</v>
      </c>
      <c r="AK112" s="409">
        <f t="shared" si="28"/>
        <v>0</v>
      </c>
      <c r="AN112" s="391">
        <v>6306.34</v>
      </c>
      <c r="AO112" s="423">
        <f t="shared" si="20"/>
        <v>0</v>
      </c>
    </row>
    <row r="113" spans="1:41">
      <c r="A113" s="391" t="s">
        <v>554</v>
      </c>
      <c r="B113" s="408">
        <v>34089</v>
      </c>
      <c r="C113" s="391" t="s">
        <v>755</v>
      </c>
      <c r="D113" s="391" t="s">
        <v>756</v>
      </c>
      <c r="E113" s="391" t="s">
        <v>539</v>
      </c>
      <c r="F113" s="391" t="s">
        <v>540</v>
      </c>
      <c r="G113" s="391">
        <v>30</v>
      </c>
      <c r="H113" s="392">
        <v>8841.15</v>
      </c>
      <c r="I113" s="392">
        <v>6773.08</v>
      </c>
      <c r="J113" s="392">
        <v>294.70999999999998</v>
      </c>
      <c r="K113" s="391" t="s">
        <v>505</v>
      </c>
      <c r="L113" s="391" t="s">
        <v>505</v>
      </c>
      <c r="O113" s="392">
        <f t="shared" si="29"/>
        <v>0</v>
      </c>
      <c r="P113" s="392">
        <f t="shared" si="29"/>
        <v>0</v>
      </c>
      <c r="Q113" s="392">
        <f t="shared" si="29"/>
        <v>8841.15</v>
      </c>
      <c r="R113" s="392">
        <f t="shared" si="29"/>
        <v>0</v>
      </c>
      <c r="S113" s="392">
        <f t="shared" si="29"/>
        <v>0</v>
      </c>
      <c r="U113" s="392">
        <f t="shared" si="26"/>
        <v>0</v>
      </c>
      <c r="V113" s="392">
        <f t="shared" si="26"/>
        <v>0</v>
      </c>
      <c r="W113" s="392">
        <f t="shared" si="26"/>
        <v>6773.08</v>
      </c>
      <c r="X113" s="392">
        <f t="shared" si="26"/>
        <v>0</v>
      </c>
      <c r="Y113" s="392">
        <f t="shared" si="26"/>
        <v>0</v>
      </c>
      <c r="AA113" s="392">
        <f t="shared" si="27"/>
        <v>0</v>
      </c>
      <c r="AB113" s="392">
        <f t="shared" si="27"/>
        <v>0</v>
      </c>
      <c r="AC113" s="392">
        <f t="shared" si="27"/>
        <v>294.70999999999998</v>
      </c>
      <c r="AD113" s="392">
        <f t="shared" si="27"/>
        <v>0</v>
      </c>
      <c r="AE113" s="392">
        <f t="shared" si="27"/>
        <v>0</v>
      </c>
      <c r="AG113" s="409">
        <f t="shared" si="28"/>
        <v>0</v>
      </c>
      <c r="AH113" s="409">
        <f t="shared" si="28"/>
        <v>0</v>
      </c>
      <c r="AI113" s="409">
        <f t="shared" si="28"/>
        <v>1</v>
      </c>
      <c r="AJ113" s="409">
        <f t="shared" si="28"/>
        <v>0</v>
      </c>
      <c r="AK113" s="409">
        <f t="shared" si="28"/>
        <v>0</v>
      </c>
      <c r="AN113" s="391">
        <v>8841.15</v>
      </c>
      <c r="AO113" s="423">
        <f t="shared" si="20"/>
        <v>0</v>
      </c>
    </row>
    <row r="114" spans="1:41">
      <c r="A114" s="391" t="s">
        <v>554</v>
      </c>
      <c r="B114" s="408">
        <v>34089</v>
      </c>
      <c r="C114" s="391" t="s">
        <v>757</v>
      </c>
      <c r="D114" s="391" t="s">
        <v>758</v>
      </c>
      <c r="E114" s="391" t="s">
        <v>539</v>
      </c>
      <c r="F114" s="391" t="s">
        <v>540</v>
      </c>
      <c r="G114" s="391">
        <v>30</v>
      </c>
      <c r="H114" s="392">
        <v>134845.82</v>
      </c>
      <c r="I114" s="392">
        <v>103291.99</v>
      </c>
      <c r="J114" s="392">
        <v>4494.8599999999997</v>
      </c>
      <c r="K114" s="391" t="s">
        <v>505</v>
      </c>
      <c r="L114" s="391" t="s">
        <v>505</v>
      </c>
      <c r="O114" s="392">
        <f t="shared" si="29"/>
        <v>0</v>
      </c>
      <c r="P114" s="392">
        <f t="shared" si="29"/>
        <v>0</v>
      </c>
      <c r="Q114" s="392">
        <f t="shared" si="29"/>
        <v>134845.82</v>
      </c>
      <c r="R114" s="392">
        <f t="shared" si="29"/>
        <v>0</v>
      </c>
      <c r="S114" s="392">
        <f t="shared" si="29"/>
        <v>0</v>
      </c>
      <c r="U114" s="392">
        <f t="shared" si="26"/>
        <v>0</v>
      </c>
      <c r="V114" s="392">
        <f t="shared" si="26"/>
        <v>0</v>
      </c>
      <c r="W114" s="392">
        <f t="shared" si="26"/>
        <v>103291.99</v>
      </c>
      <c r="X114" s="392">
        <f t="shared" si="26"/>
        <v>0</v>
      </c>
      <c r="Y114" s="392">
        <f t="shared" si="26"/>
        <v>0</v>
      </c>
      <c r="AA114" s="392">
        <f t="shared" si="27"/>
        <v>0</v>
      </c>
      <c r="AB114" s="392">
        <f t="shared" si="27"/>
        <v>0</v>
      </c>
      <c r="AC114" s="392">
        <f t="shared" si="27"/>
        <v>4494.8599999999997</v>
      </c>
      <c r="AD114" s="392">
        <f t="shared" si="27"/>
        <v>0</v>
      </c>
      <c r="AE114" s="392">
        <f t="shared" si="27"/>
        <v>0</v>
      </c>
      <c r="AG114" s="409">
        <f t="shared" si="28"/>
        <v>0</v>
      </c>
      <c r="AH114" s="409">
        <f t="shared" si="28"/>
        <v>0</v>
      </c>
      <c r="AI114" s="409">
        <f t="shared" si="28"/>
        <v>1</v>
      </c>
      <c r="AJ114" s="409">
        <f t="shared" si="28"/>
        <v>0</v>
      </c>
      <c r="AK114" s="409">
        <f t="shared" si="28"/>
        <v>0</v>
      </c>
      <c r="AN114" s="391">
        <v>134845.82</v>
      </c>
      <c r="AO114" s="423">
        <f t="shared" si="20"/>
        <v>0</v>
      </c>
    </row>
    <row r="115" spans="1:41">
      <c r="A115" s="391" t="s">
        <v>585</v>
      </c>
      <c r="B115" s="408">
        <v>34089</v>
      </c>
      <c r="C115" s="391" t="s">
        <v>759</v>
      </c>
      <c r="D115" s="391" t="s">
        <v>760</v>
      </c>
      <c r="E115" s="391" t="s">
        <v>539</v>
      </c>
      <c r="F115" s="391" t="s">
        <v>540</v>
      </c>
      <c r="G115" s="391">
        <v>30</v>
      </c>
      <c r="H115" s="392">
        <v>201836.23</v>
      </c>
      <c r="I115" s="392">
        <v>154600.76999999999</v>
      </c>
      <c r="J115" s="392">
        <v>6727.87</v>
      </c>
      <c r="K115" s="391" t="s">
        <v>516</v>
      </c>
      <c r="L115" s="391" t="s">
        <v>516</v>
      </c>
      <c r="O115" s="392">
        <f>$H115*AG115</f>
        <v>0</v>
      </c>
      <c r="P115" s="392">
        <f t="shared" ref="P115:S115" si="30">$H115*AH115</f>
        <v>60550.868999999999</v>
      </c>
      <c r="Q115" s="392">
        <f t="shared" si="30"/>
        <v>141285.361</v>
      </c>
      <c r="R115" s="392">
        <f t="shared" si="30"/>
        <v>0</v>
      </c>
      <c r="S115" s="392">
        <f t="shared" si="30"/>
        <v>0</v>
      </c>
      <c r="U115" s="392">
        <f t="shared" si="26"/>
        <v>0</v>
      </c>
      <c r="V115" s="392">
        <f t="shared" si="26"/>
        <v>46380.230999999992</v>
      </c>
      <c r="W115" s="392">
        <f t="shared" si="26"/>
        <v>108220.53899999999</v>
      </c>
      <c r="X115" s="392">
        <f t="shared" si="26"/>
        <v>0</v>
      </c>
      <c r="Y115" s="392">
        <f t="shared" si="26"/>
        <v>0</v>
      </c>
      <c r="AA115" s="392">
        <f t="shared" si="27"/>
        <v>0</v>
      </c>
      <c r="AB115" s="392">
        <f t="shared" si="27"/>
        <v>2018.3609999999999</v>
      </c>
      <c r="AC115" s="392">
        <f t="shared" si="27"/>
        <v>4709.509</v>
      </c>
      <c r="AD115" s="392">
        <f t="shared" si="27"/>
        <v>0</v>
      </c>
      <c r="AE115" s="392">
        <f t="shared" si="27"/>
        <v>0</v>
      </c>
      <c r="AG115" s="410">
        <v>0</v>
      </c>
      <c r="AH115" s="410">
        <v>0.3</v>
      </c>
      <c r="AI115" s="410">
        <f>1-AH115</f>
        <v>0.7</v>
      </c>
      <c r="AJ115" s="410">
        <v>0</v>
      </c>
      <c r="AK115" s="410">
        <v>0</v>
      </c>
      <c r="AN115" s="391">
        <v>201836.23</v>
      </c>
      <c r="AO115" s="423">
        <f t="shared" si="20"/>
        <v>0</v>
      </c>
    </row>
    <row r="116" spans="1:41">
      <c r="A116" s="391" t="s">
        <v>572</v>
      </c>
      <c r="B116" s="408">
        <v>34089</v>
      </c>
      <c r="C116" s="391" t="s">
        <v>761</v>
      </c>
      <c r="D116" s="391" t="s">
        <v>762</v>
      </c>
      <c r="E116" s="391" t="s">
        <v>539</v>
      </c>
      <c r="F116" s="391" t="s">
        <v>540</v>
      </c>
      <c r="G116" s="391">
        <v>30</v>
      </c>
      <c r="H116" s="392">
        <v>126460</v>
      </c>
      <c r="I116" s="392">
        <v>96866.27</v>
      </c>
      <c r="J116" s="392">
        <v>4215.33</v>
      </c>
      <c r="K116" s="391" t="s">
        <v>505</v>
      </c>
      <c r="L116" s="391" t="s">
        <v>505</v>
      </c>
      <c r="O116" s="392">
        <f t="shared" ref="O116:S125" si="31">IF(O$8=$K116,$H116,0)</f>
        <v>0</v>
      </c>
      <c r="P116" s="392">
        <f t="shared" si="31"/>
        <v>0</v>
      </c>
      <c r="Q116" s="392">
        <f t="shared" si="31"/>
        <v>126460</v>
      </c>
      <c r="R116" s="392">
        <f t="shared" si="31"/>
        <v>0</v>
      </c>
      <c r="S116" s="392">
        <f t="shared" si="31"/>
        <v>0</v>
      </c>
      <c r="U116" s="392">
        <f t="shared" si="26"/>
        <v>0</v>
      </c>
      <c r="V116" s="392">
        <f t="shared" si="26"/>
        <v>0</v>
      </c>
      <c r="W116" s="392">
        <f t="shared" si="26"/>
        <v>96866.27</v>
      </c>
      <c r="X116" s="392">
        <f t="shared" si="26"/>
        <v>0</v>
      </c>
      <c r="Y116" s="392">
        <f t="shared" si="26"/>
        <v>0</v>
      </c>
      <c r="AA116" s="392">
        <f t="shared" si="27"/>
        <v>0</v>
      </c>
      <c r="AB116" s="392">
        <f t="shared" si="27"/>
        <v>0</v>
      </c>
      <c r="AC116" s="392">
        <f t="shared" si="27"/>
        <v>4215.33</v>
      </c>
      <c r="AD116" s="392">
        <f t="shared" si="27"/>
        <v>0</v>
      </c>
      <c r="AE116" s="392">
        <f t="shared" si="27"/>
        <v>0</v>
      </c>
      <c r="AG116" s="409">
        <f t="shared" ref="AG116:AK140" si="32">IF($H116=0,0,O116/$H116)</f>
        <v>0</v>
      </c>
      <c r="AH116" s="409">
        <f t="shared" si="32"/>
        <v>0</v>
      </c>
      <c r="AI116" s="409">
        <f t="shared" si="32"/>
        <v>1</v>
      </c>
      <c r="AJ116" s="409">
        <f t="shared" si="32"/>
        <v>0</v>
      </c>
      <c r="AK116" s="409">
        <f t="shared" si="32"/>
        <v>0</v>
      </c>
      <c r="AN116" s="391">
        <v>126460</v>
      </c>
      <c r="AO116" s="423">
        <f t="shared" si="20"/>
        <v>0</v>
      </c>
    </row>
    <row r="117" spans="1:41">
      <c r="A117" s="391" t="s">
        <v>646</v>
      </c>
      <c r="B117" s="408">
        <v>34089</v>
      </c>
      <c r="C117" s="391" t="s">
        <v>763</v>
      </c>
      <c r="D117" s="391" t="s">
        <v>764</v>
      </c>
      <c r="E117" s="391" t="s">
        <v>539</v>
      </c>
      <c r="F117" s="391" t="s">
        <v>540</v>
      </c>
      <c r="G117" s="391">
        <v>5</v>
      </c>
      <c r="H117" s="392">
        <v>1875</v>
      </c>
      <c r="I117" s="392">
        <v>1875</v>
      </c>
      <c r="J117" s="392">
        <v>0</v>
      </c>
      <c r="K117" s="391" t="s">
        <v>515</v>
      </c>
      <c r="L117" s="391" t="s">
        <v>515</v>
      </c>
      <c r="O117" s="392">
        <f t="shared" si="31"/>
        <v>0</v>
      </c>
      <c r="P117" s="392">
        <f t="shared" si="31"/>
        <v>0</v>
      </c>
      <c r="Q117" s="392">
        <f t="shared" si="31"/>
        <v>0</v>
      </c>
      <c r="R117" s="392">
        <f t="shared" si="31"/>
        <v>1875</v>
      </c>
      <c r="S117" s="392">
        <f t="shared" si="31"/>
        <v>0</v>
      </c>
      <c r="U117" s="392">
        <f t="shared" si="26"/>
        <v>0</v>
      </c>
      <c r="V117" s="392">
        <f t="shared" si="26"/>
        <v>0</v>
      </c>
      <c r="W117" s="392">
        <f t="shared" si="26"/>
        <v>0</v>
      </c>
      <c r="X117" s="392">
        <f t="shared" si="26"/>
        <v>1875</v>
      </c>
      <c r="Y117" s="392">
        <f t="shared" si="26"/>
        <v>0</v>
      </c>
      <c r="AA117" s="392">
        <f t="shared" si="27"/>
        <v>0</v>
      </c>
      <c r="AB117" s="392">
        <f t="shared" si="27"/>
        <v>0</v>
      </c>
      <c r="AC117" s="392">
        <f t="shared" si="27"/>
        <v>0</v>
      </c>
      <c r="AD117" s="392">
        <f t="shared" si="27"/>
        <v>0</v>
      </c>
      <c r="AE117" s="392">
        <f t="shared" si="27"/>
        <v>0</v>
      </c>
      <c r="AG117" s="409">
        <f t="shared" si="32"/>
        <v>0</v>
      </c>
      <c r="AH117" s="409">
        <f t="shared" si="32"/>
        <v>0</v>
      </c>
      <c r="AI117" s="409">
        <f t="shared" si="32"/>
        <v>0</v>
      </c>
      <c r="AJ117" s="409">
        <f t="shared" si="32"/>
        <v>1</v>
      </c>
      <c r="AK117" s="409">
        <f t="shared" si="32"/>
        <v>0</v>
      </c>
      <c r="AN117" s="391">
        <v>1875</v>
      </c>
      <c r="AO117" s="423">
        <f t="shared" si="20"/>
        <v>0</v>
      </c>
    </row>
    <row r="118" spans="1:41">
      <c r="A118" s="391" t="s">
        <v>682</v>
      </c>
      <c r="B118" s="408">
        <v>34089</v>
      </c>
      <c r="C118" s="391" t="s">
        <v>765</v>
      </c>
      <c r="D118" s="391" t="s">
        <v>766</v>
      </c>
      <c r="E118" s="391" t="s">
        <v>539</v>
      </c>
      <c r="F118" s="391" t="s">
        <v>540</v>
      </c>
      <c r="G118" s="391">
        <v>5</v>
      </c>
      <c r="H118" s="392">
        <v>2233.17</v>
      </c>
      <c r="I118" s="392">
        <v>2233.17</v>
      </c>
      <c r="J118" s="392">
        <v>0</v>
      </c>
      <c r="K118" s="391" t="s">
        <v>515</v>
      </c>
      <c r="L118" s="391" t="s">
        <v>515</v>
      </c>
      <c r="O118" s="392">
        <f t="shared" si="31"/>
        <v>0</v>
      </c>
      <c r="P118" s="392">
        <f t="shared" si="31"/>
        <v>0</v>
      </c>
      <c r="Q118" s="392">
        <f t="shared" si="31"/>
        <v>0</v>
      </c>
      <c r="R118" s="392">
        <f t="shared" si="31"/>
        <v>2233.17</v>
      </c>
      <c r="S118" s="392">
        <f t="shared" si="31"/>
        <v>0</v>
      </c>
      <c r="U118" s="392">
        <f t="shared" si="26"/>
        <v>0</v>
      </c>
      <c r="V118" s="392">
        <f t="shared" si="26"/>
        <v>0</v>
      </c>
      <c r="W118" s="392">
        <f t="shared" si="26"/>
        <v>0</v>
      </c>
      <c r="X118" s="392">
        <f t="shared" si="26"/>
        <v>2233.17</v>
      </c>
      <c r="Y118" s="392">
        <f t="shared" si="26"/>
        <v>0</v>
      </c>
      <c r="AA118" s="392">
        <f t="shared" si="27"/>
        <v>0</v>
      </c>
      <c r="AB118" s="392">
        <f t="shared" si="27"/>
        <v>0</v>
      </c>
      <c r="AC118" s="392">
        <f t="shared" si="27"/>
        <v>0</v>
      </c>
      <c r="AD118" s="392">
        <f t="shared" si="27"/>
        <v>0</v>
      </c>
      <c r="AE118" s="392">
        <f t="shared" si="27"/>
        <v>0</v>
      </c>
      <c r="AG118" s="409">
        <f t="shared" si="32"/>
        <v>0</v>
      </c>
      <c r="AH118" s="409">
        <f t="shared" si="32"/>
        <v>0</v>
      </c>
      <c r="AI118" s="409">
        <f t="shared" si="32"/>
        <v>0</v>
      </c>
      <c r="AJ118" s="409">
        <f t="shared" si="32"/>
        <v>1</v>
      </c>
      <c r="AK118" s="409">
        <f t="shared" si="32"/>
        <v>0</v>
      </c>
      <c r="AN118" s="391">
        <v>2233.17</v>
      </c>
      <c r="AO118" s="423">
        <f t="shared" si="20"/>
        <v>0</v>
      </c>
    </row>
    <row r="119" spans="1:41">
      <c r="A119" s="391" t="s">
        <v>682</v>
      </c>
      <c r="B119" s="408">
        <v>34089</v>
      </c>
      <c r="C119" s="391" t="s">
        <v>723</v>
      </c>
      <c r="D119" s="391" t="s">
        <v>767</v>
      </c>
      <c r="E119" s="391" t="s">
        <v>539</v>
      </c>
      <c r="F119" s="391" t="s">
        <v>540</v>
      </c>
      <c r="G119" s="391">
        <v>5</v>
      </c>
      <c r="H119" s="392">
        <v>1089</v>
      </c>
      <c r="I119" s="392">
        <v>1089</v>
      </c>
      <c r="J119" s="392">
        <v>0</v>
      </c>
      <c r="K119" s="391" t="s">
        <v>515</v>
      </c>
      <c r="L119" s="391" t="s">
        <v>515</v>
      </c>
      <c r="O119" s="392">
        <f t="shared" si="31"/>
        <v>0</v>
      </c>
      <c r="P119" s="392">
        <f t="shared" si="31"/>
        <v>0</v>
      </c>
      <c r="Q119" s="392">
        <f t="shared" si="31"/>
        <v>0</v>
      </c>
      <c r="R119" s="392">
        <f t="shared" si="31"/>
        <v>1089</v>
      </c>
      <c r="S119" s="392">
        <f t="shared" si="31"/>
        <v>0</v>
      </c>
      <c r="U119" s="392">
        <f t="shared" si="26"/>
        <v>0</v>
      </c>
      <c r="V119" s="392">
        <f t="shared" si="26"/>
        <v>0</v>
      </c>
      <c r="W119" s="392">
        <f t="shared" si="26"/>
        <v>0</v>
      </c>
      <c r="X119" s="392">
        <f t="shared" si="26"/>
        <v>1089</v>
      </c>
      <c r="Y119" s="392">
        <f t="shared" si="26"/>
        <v>0</v>
      </c>
      <c r="AA119" s="392">
        <f t="shared" si="27"/>
        <v>0</v>
      </c>
      <c r="AB119" s="392">
        <f t="shared" si="27"/>
        <v>0</v>
      </c>
      <c r="AC119" s="392">
        <f t="shared" si="27"/>
        <v>0</v>
      </c>
      <c r="AD119" s="392">
        <f t="shared" si="27"/>
        <v>0</v>
      </c>
      <c r="AE119" s="392">
        <f t="shared" si="27"/>
        <v>0</v>
      </c>
      <c r="AG119" s="409">
        <f t="shared" si="32"/>
        <v>0</v>
      </c>
      <c r="AH119" s="409">
        <f t="shared" si="32"/>
        <v>0</v>
      </c>
      <c r="AI119" s="409">
        <f t="shared" si="32"/>
        <v>0</v>
      </c>
      <c r="AJ119" s="409">
        <f t="shared" si="32"/>
        <v>1</v>
      </c>
      <c r="AK119" s="409">
        <f t="shared" si="32"/>
        <v>0</v>
      </c>
      <c r="AN119" s="391">
        <v>1089</v>
      </c>
      <c r="AO119" s="423">
        <f t="shared" si="20"/>
        <v>0</v>
      </c>
    </row>
    <row r="120" spans="1:41">
      <c r="A120" s="391" t="s">
        <v>632</v>
      </c>
      <c r="B120" s="408">
        <v>34425</v>
      </c>
      <c r="C120" s="391" t="s">
        <v>768</v>
      </c>
      <c r="D120" s="391" t="s">
        <v>769</v>
      </c>
      <c r="E120" s="391" t="s">
        <v>539</v>
      </c>
      <c r="F120" s="391" t="s">
        <v>540</v>
      </c>
      <c r="G120" s="391">
        <v>5</v>
      </c>
      <c r="H120" s="392">
        <v>2820</v>
      </c>
      <c r="I120" s="392">
        <v>2820</v>
      </c>
      <c r="J120" s="392">
        <v>0</v>
      </c>
      <c r="K120" s="391" t="s">
        <v>515</v>
      </c>
      <c r="L120" s="391" t="s">
        <v>515</v>
      </c>
      <c r="O120" s="392">
        <f t="shared" si="31"/>
        <v>0</v>
      </c>
      <c r="P120" s="392">
        <f t="shared" si="31"/>
        <v>0</v>
      </c>
      <c r="Q120" s="392">
        <f t="shared" si="31"/>
        <v>0</v>
      </c>
      <c r="R120" s="392">
        <f t="shared" si="31"/>
        <v>2820</v>
      </c>
      <c r="S120" s="392">
        <f t="shared" si="31"/>
        <v>0</v>
      </c>
      <c r="U120" s="392">
        <f t="shared" si="26"/>
        <v>0</v>
      </c>
      <c r="V120" s="392">
        <f t="shared" si="26"/>
        <v>0</v>
      </c>
      <c r="W120" s="392">
        <f t="shared" si="26"/>
        <v>0</v>
      </c>
      <c r="X120" s="392">
        <f t="shared" si="26"/>
        <v>2820</v>
      </c>
      <c r="Y120" s="392">
        <f t="shared" si="26"/>
        <v>0</v>
      </c>
      <c r="AA120" s="392">
        <f t="shared" si="27"/>
        <v>0</v>
      </c>
      <c r="AB120" s="392">
        <f t="shared" si="27"/>
        <v>0</v>
      </c>
      <c r="AC120" s="392">
        <f t="shared" si="27"/>
        <v>0</v>
      </c>
      <c r="AD120" s="392">
        <f t="shared" si="27"/>
        <v>0</v>
      </c>
      <c r="AE120" s="392">
        <f t="shared" si="27"/>
        <v>0</v>
      </c>
      <c r="AG120" s="409">
        <f t="shared" si="32"/>
        <v>0</v>
      </c>
      <c r="AH120" s="409">
        <f t="shared" si="32"/>
        <v>0</v>
      </c>
      <c r="AI120" s="409">
        <f t="shared" si="32"/>
        <v>0</v>
      </c>
      <c r="AJ120" s="409">
        <f t="shared" si="32"/>
        <v>1</v>
      </c>
      <c r="AK120" s="409">
        <f t="shared" si="32"/>
        <v>0</v>
      </c>
      <c r="AN120" s="391">
        <v>2820</v>
      </c>
      <c r="AO120" s="423">
        <f t="shared" si="20"/>
        <v>0</v>
      </c>
    </row>
    <row r="121" spans="1:41">
      <c r="A121" s="391" t="s">
        <v>632</v>
      </c>
      <c r="B121" s="408">
        <v>34439</v>
      </c>
      <c r="C121" s="391" t="s">
        <v>770</v>
      </c>
      <c r="D121" s="391" t="s">
        <v>771</v>
      </c>
      <c r="E121" s="391" t="s">
        <v>539</v>
      </c>
      <c r="F121" s="391" t="s">
        <v>540</v>
      </c>
      <c r="G121" s="391">
        <v>5</v>
      </c>
      <c r="H121" s="392">
        <v>2513</v>
      </c>
      <c r="I121" s="392">
        <v>2513</v>
      </c>
      <c r="J121" s="392">
        <v>0</v>
      </c>
      <c r="K121" s="391" t="s">
        <v>515</v>
      </c>
      <c r="L121" s="391" t="s">
        <v>515</v>
      </c>
      <c r="O121" s="392">
        <f t="shared" si="31"/>
        <v>0</v>
      </c>
      <c r="P121" s="392">
        <f t="shared" si="31"/>
        <v>0</v>
      </c>
      <c r="Q121" s="392">
        <f t="shared" si="31"/>
        <v>0</v>
      </c>
      <c r="R121" s="392">
        <f t="shared" si="31"/>
        <v>2513</v>
      </c>
      <c r="S121" s="392">
        <f t="shared" si="31"/>
        <v>0</v>
      </c>
      <c r="U121" s="392">
        <f t="shared" si="26"/>
        <v>0</v>
      </c>
      <c r="V121" s="392">
        <f t="shared" si="26"/>
        <v>0</v>
      </c>
      <c r="W121" s="392">
        <f t="shared" si="26"/>
        <v>0</v>
      </c>
      <c r="X121" s="392">
        <f t="shared" si="26"/>
        <v>2513</v>
      </c>
      <c r="Y121" s="392">
        <f t="shared" si="26"/>
        <v>0</v>
      </c>
      <c r="AA121" s="392">
        <f t="shared" si="27"/>
        <v>0</v>
      </c>
      <c r="AB121" s="392">
        <f t="shared" si="27"/>
        <v>0</v>
      </c>
      <c r="AC121" s="392">
        <f t="shared" si="27"/>
        <v>0</v>
      </c>
      <c r="AD121" s="392">
        <f t="shared" si="27"/>
        <v>0</v>
      </c>
      <c r="AE121" s="392">
        <f t="shared" si="27"/>
        <v>0</v>
      </c>
      <c r="AG121" s="409">
        <f t="shared" si="32"/>
        <v>0</v>
      </c>
      <c r="AH121" s="409">
        <f t="shared" si="32"/>
        <v>0</v>
      </c>
      <c r="AI121" s="409">
        <f t="shared" si="32"/>
        <v>0</v>
      </c>
      <c r="AJ121" s="409">
        <f t="shared" si="32"/>
        <v>1</v>
      </c>
      <c r="AK121" s="409">
        <f t="shared" si="32"/>
        <v>0</v>
      </c>
      <c r="AN121" s="391">
        <v>2513</v>
      </c>
      <c r="AO121" s="423">
        <f t="shared" si="20"/>
        <v>0</v>
      </c>
    </row>
    <row r="122" spans="1:41">
      <c r="A122" s="391" t="s">
        <v>567</v>
      </c>
      <c r="B122" s="408">
        <v>34454</v>
      </c>
      <c r="C122" s="391" t="s">
        <v>772</v>
      </c>
      <c r="D122" s="391" t="s">
        <v>773</v>
      </c>
      <c r="E122" s="391" t="s">
        <v>539</v>
      </c>
      <c r="F122" s="391" t="s">
        <v>540</v>
      </c>
      <c r="G122" s="391">
        <v>30</v>
      </c>
      <c r="H122" s="392">
        <v>50672.61</v>
      </c>
      <c r="I122" s="392">
        <v>37124.759999999995</v>
      </c>
      <c r="J122" s="392">
        <v>1689.09</v>
      </c>
      <c r="K122" s="391" t="s">
        <v>505</v>
      </c>
      <c r="L122" s="391" t="s">
        <v>505</v>
      </c>
      <c r="O122" s="392">
        <f t="shared" si="31"/>
        <v>0</v>
      </c>
      <c r="P122" s="392">
        <f t="shared" si="31"/>
        <v>0</v>
      </c>
      <c r="Q122" s="392">
        <f t="shared" si="31"/>
        <v>50672.61</v>
      </c>
      <c r="R122" s="392">
        <f t="shared" si="31"/>
        <v>0</v>
      </c>
      <c r="S122" s="392">
        <f t="shared" si="31"/>
        <v>0</v>
      </c>
      <c r="U122" s="392">
        <f t="shared" si="26"/>
        <v>0</v>
      </c>
      <c r="V122" s="392">
        <f t="shared" si="26"/>
        <v>0</v>
      </c>
      <c r="W122" s="392">
        <f t="shared" si="26"/>
        <v>37124.759999999995</v>
      </c>
      <c r="X122" s="392">
        <f t="shared" si="26"/>
        <v>0</v>
      </c>
      <c r="Y122" s="392">
        <f t="shared" si="26"/>
        <v>0</v>
      </c>
      <c r="AA122" s="392">
        <f t="shared" si="27"/>
        <v>0</v>
      </c>
      <c r="AB122" s="392">
        <f t="shared" si="27"/>
        <v>0</v>
      </c>
      <c r="AC122" s="392">
        <f t="shared" si="27"/>
        <v>1689.09</v>
      </c>
      <c r="AD122" s="392">
        <f t="shared" si="27"/>
        <v>0</v>
      </c>
      <c r="AE122" s="392">
        <f t="shared" si="27"/>
        <v>0</v>
      </c>
      <c r="AG122" s="409">
        <f t="shared" si="32"/>
        <v>0</v>
      </c>
      <c r="AH122" s="409">
        <f t="shared" si="32"/>
        <v>0</v>
      </c>
      <c r="AI122" s="409">
        <f t="shared" si="32"/>
        <v>1</v>
      </c>
      <c r="AJ122" s="409">
        <f t="shared" si="32"/>
        <v>0</v>
      </c>
      <c r="AK122" s="409">
        <f t="shared" si="32"/>
        <v>0</v>
      </c>
      <c r="AN122" s="391">
        <v>50672.61</v>
      </c>
      <c r="AO122" s="423">
        <f t="shared" ref="AO122:AO180" si="33">H122-AN122</f>
        <v>0</v>
      </c>
    </row>
    <row r="123" spans="1:41">
      <c r="A123" s="391" t="s">
        <v>616</v>
      </c>
      <c r="B123" s="408">
        <v>34454</v>
      </c>
      <c r="C123" s="391" t="s">
        <v>774</v>
      </c>
      <c r="D123" s="391" t="s">
        <v>775</v>
      </c>
      <c r="E123" s="391" t="s">
        <v>539</v>
      </c>
      <c r="F123" s="391" t="s">
        <v>540</v>
      </c>
      <c r="G123" s="391">
        <v>25</v>
      </c>
      <c r="H123" s="392">
        <v>30659.47</v>
      </c>
      <c r="I123" s="392">
        <v>26956.530000000002</v>
      </c>
      <c r="J123" s="392">
        <v>1226.3800000000001</v>
      </c>
      <c r="K123" s="391" t="s">
        <v>505</v>
      </c>
      <c r="L123" s="391" t="s">
        <v>505</v>
      </c>
      <c r="O123" s="392">
        <f t="shared" si="31"/>
        <v>0</v>
      </c>
      <c r="P123" s="392">
        <f t="shared" si="31"/>
        <v>0</v>
      </c>
      <c r="Q123" s="392">
        <f t="shared" si="31"/>
        <v>30659.47</v>
      </c>
      <c r="R123" s="392">
        <f t="shared" si="31"/>
        <v>0</v>
      </c>
      <c r="S123" s="392">
        <f t="shared" si="31"/>
        <v>0</v>
      </c>
      <c r="U123" s="392">
        <f t="shared" si="26"/>
        <v>0</v>
      </c>
      <c r="V123" s="392">
        <f t="shared" si="26"/>
        <v>0</v>
      </c>
      <c r="W123" s="392">
        <f t="shared" si="26"/>
        <v>26956.530000000002</v>
      </c>
      <c r="X123" s="392">
        <f t="shared" si="26"/>
        <v>0</v>
      </c>
      <c r="Y123" s="392">
        <f t="shared" si="26"/>
        <v>0</v>
      </c>
      <c r="AA123" s="392">
        <f t="shared" si="27"/>
        <v>0</v>
      </c>
      <c r="AB123" s="392">
        <f t="shared" si="27"/>
        <v>0</v>
      </c>
      <c r="AC123" s="392">
        <f t="shared" si="27"/>
        <v>1226.3800000000001</v>
      </c>
      <c r="AD123" s="392">
        <f t="shared" si="27"/>
        <v>0</v>
      </c>
      <c r="AE123" s="392">
        <f t="shared" si="27"/>
        <v>0</v>
      </c>
      <c r="AG123" s="409">
        <f t="shared" si="32"/>
        <v>0</v>
      </c>
      <c r="AH123" s="409">
        <f t="shared" si="32"/>
        <v>0</v>
      </c>
      <c r="AI123" s="409">
        <f t="shared" si="32"/>
        <v>1</v>
      </c>
      <c r="AJ123" s="409">
        <f t="shared" si="32"/>
        <v>0</v>
      </c>
      <c r="AK123" s="409">
        <f t="shared" si="32"/>
        <v>0</v>
      </c>
      <c r="AN123" s="391">
        <v>30659.47</v>
      </c>
      <c r="AO123" s="423">
        <f t="shared" si="33"/>
        <v>0</v>
      </c>
    </row>
    <row r="124" spans="1:41">
      <c r="A124" s="391" t="s">
        <v>592</v>
      </c>
      <c r="B124" s="408">
        <v>34454</v>
      </c>
      <c r="C124" s="391" t="s">
        <v>776</v>
      </c>
      <c r="D124" s="391" t="s">
        <v>777</v>
      </c>
      <c r="E124" s="391" t="s">
        <v>539</v>
      </c>
      <c r="F124" s="391" t="s">
        <v>540</v>
      </c>
      <c r="G124" s="391">
        <v>30</v>
      </c>
      <c r="H124" s="392">
        <v>148729.35</v>
      </c>
      <c r="I124" s="392">
        <v>108954.57999999999</v>
      </c>
      <c r="J124" s="392">
        <v>4957.6499999999996</v>
      </c>
      <c r="K124" s="391" t="s">
        <v>505</v>
      </c>
      <c r="L124" s="391" t="s">
        <v>778</v>
      </c>
      <c r="M124" s="391" t="s">
        <v>779</v>
      </c>
      <c r="O124" s="392">
        <f t="shared" si="31"/>
        <v>0</v>
      </c>
      <c r="P124" s="392">
        <f t="shared" si="31"/>
        <v>0</v>
      </c>
      <c r="Q124" s="392">
        <f t="shared" si="31"/>
        <v>148729.35</v>
      </c>
      <c r="R124" s="392">
        <f t="shared" si="31"/>
        <v>0</v>
      </c>
      <c r="S124" s="392">
        <f t="shared" si="31"/>
        <v>0</v>
      </c>
      <c r="U124" s="392">
        <f t="shared" si="26"/>
        <v>0</v>
      </c>
      <c r="V124" s="392">
        <f t="shared" si="26"/>
        <v>0</v>
      </c>
      <c r="W124" s="392">
        <f t="shared" si="26"/>
        <v>108954.57999999999</v>
      </c>
      <c r="X124" s="392">
        <f t="shared" si="26"/>
        <v>0</v>
      </c>
      <c r="Y124" s="392">
        <f t="shared" si="26"/>
        <v>0</v>
      </c>
      <c r="AA124" s="392">
        <f t="shared" si="27"/>
        <v>0</v>
      </c>
      <c r="AB124" s="392">
        <f t="shared" si="27"/>
        <v>0</v>
      </c>
      <c r="AC124" s="392">
        <f t="shared" si="27"/>
        <v>4957.6499999999996</v>
      </c>
      <c r="AD124" s="392">
        <f t="shared" si="27"/>
        <v>0</v>
      </c>
      <c r="AE124" s="392">
        <f t="shared" si="27"/>
        <v>0</v>
      </c>
      <c r="AG124" s="409">
        <f t="shared" si="32"/>
        <v>0</v>
      </c>
      <c r="AH124" s="409">
        <f t="shared" si="32"/>
        <v>0</v>
      </c>
      <c r="AI124" s="409">
        <f t="shared" si="32"/>
        <v>1</v>
      </c>
      <c r="AJ124" s="409">
        <f t="shared" si="32"/>
        <v>0</v>
      </c>
      <c r="AK124" s="409">
        <f t="shared" si="32"/>
        <v>0</v>
      </c>
      <c r="AN124" s="391">
        <v>148729.35</v>
      </c>
      <c r="AO124" s="423">
        <f t="shared" si="33"/>
        <v>0</v>
      </c>
    </row>
    <row r="125" spans="1:41">
      <c r="A125" s="391" t="s">
        <v>554</v>
      </c>
      <c r="B125" s="408">
        <v>34454</v>
      </c>
      <c r="C125" s="391" t="s">
        <v>780</v>
      </c>
      <c r="D125" s="391" t="s">
        <v>781</v>
      </c>
      <c r="E125" s="391" t="s">
        <v>539</v>
      </c>
      <c r="F125" s="391" t="s">
        <v>540</v>
      </c>
      <c r="G125" s="391">
        <v>30</v>
      </c>
      <c r="H125" s="392">
        <v>113292.86</v>
      </c>
      <c r="I125" s="392">
        <v>83008.87</v>
      </c>
      <c r="J125" s="392">
        <v>3776.43</v>
      </c>
      <c r="K125" s="391" t="s">
        <v>505</v>
      </c>
      <c r="L125" s="391" t="s">
        <v>505</v>
      </c>
      <c r="O125" s="392">
        <f t="shared" si="31"/>
        <v>0</v>
      </c>
      <c r="P125" s="392">
        <f t="shared" si="31"/>
        <v>0</v>
      </c>
      <c r="Q125" s="392">
        <f t="shared" si="31"/>
        <v>113292.86</v>
      </c>
      <c r="R125" s="392">
        <f t="shared" si="31"/>
        <v>0</v>
      </c>
      <c r="S125" s="392">
        <f t="shared" si="31"/>
        <v>0</v>
      </c>
      <c r="U125" s="392">
        <f t="shared" si="26"/>
        <v>0</v>
      </c>
      <c r="V125" s="392">
        <f t="shared" si="26"/>
        <v>0</v>
      </c>
      <c r="W125" s="392">
        <f t="shared" si="26"/>
        <v>83008.87</v>
      </c>
      <c r="X125" s="392">
        <f t="shared" si="26"/>
        <v>0</v>
      </c>
      <c r="Y125" s="392">
        <f t="shared" si="26"/>
        <v>0</v>
      </c>
      <c r="AA125" s="392">
        <f t="shared" si="27"/>
        <v>0</v>
      </c>
      <c r="AB125" s="392">
        <f t="shared" si="27"/>
        <v>0</v>
      </c>
      <c r="AC125" s="392">
        <f t="shared" si="27"/>
        <v>3776.43</v>
      </c>
      <c r="AD125" s="392">
        <f t="shared" si="27"/>
        <v>0</v>
      </c>
      <c r="AE125" s="392">
        <f t="shared" si="27"/>
        <v>0</v>
      </c>
      <c r="AG125" s="409">
        <f t="shared" si="32"/>
        <v>0</v>
      </c>
      <c r="AH125" s="409">
        <f t="shared" si="32"/>
        <v>0</v>
      </c>
      <c r="AI125" s="409">
        <f t="shared" si="32"/>
        <v>1</v>
      </c>
      <c r="AJ125" s="409">
        <f t="shared" si="32"/>
        <v>0</v>
      </c>
      <c r="AK125" s="409">
        <f t="shared" si="32"/>
        <v>0</v>
      </c>
      <c r="AN125" s="391">
        <v>113292.86</v>
      </c>
      <c r="AO125" s="423">
        <f t="shared" si="33"/>
        <v>0</v>
      </c>
    </row>
    <row r="126" spans="1:41">
      <c r="A126" s="391" t="s">
        <v>554</v>
      </c>
      <c r="B126" s="408">
        <v>34454</v>
      </c>
      <c r="C126" s="391" t="s">
        <v>782</v>
      </c>
      <c r="D126" s="391" t="s">
        <v>783</v>
      </c>
      <c r="E126" s="391" t="s">
        <v>539</v>
      </c>
      <c r="F126" s="391" t="s">
        <v>540</v>
      </c>
      <c r="G126" s="391">
        <v>30</v>
      </c>
      <c r="H126" s="392">
        <v>19424.87</v>
      </c>
      <c r="I126" s="392">
        <v>14231.48</v>
      </c>
      <c r="J126" s="392">
        <v>647.5</v>
      </c>
      <c r="K126" s="391" t="s">
        <v>505</v>
      </c>
      <c r="L126" s="391" t="s">
        <v>505</v>
      </c>
      <c r="M126" s="391" t="s">
        <v>784</v>
      </c>
      <c r="O126" s="392">
        <f t="shared" ref="O126:S134" si="34">IF(O$8=$K126,$H126,0)</f>
        <v>0</v>
      </c>
      <c r="P126" s="392">
        <f t="shared" si="34"/>
        <v>0</v>
      </c>
      <c r="Q126" s="392">
        <f t="shared" si="34"/>
        <v>19424.87</v>
      </c>
      <c r="R126" s="392">
        <f t="shared" si="34"/>
        <v>0</v>
      </c>
      <c r="S126" s="392">
        <f t="shared" si="34"/>
        <v>0</v>
      </c>
      <c r="U126" s="392">
        <f t="shared" si="26"/>
        <v>0</v>
      </c>
      <c r="V126" s="392">
        <f t="shared" si="26"/>
        <v>0</v>
      </c>
      <c r="W126" s="392">
        <f t="shared" si="26"/>
        <v>14231.48</v>
      </c>
      <c r="X126" s="392">
        <f t="shared" si="26"/>
        <v>0</v>
      </c>
      <c r="Y126" s="392">
        <f t="shared" si="26"/>
        <v>0</v>
      </c>
      <c r="AA126" s="392">
        <f t="shared" si="27"/>
        <v>0</v>
      </c>
      <c r="AB126" s="392">
        <f t="shared" si="27"/>
        <v>0</v>
      </c>
      <c r="AC126" s="392">
        <f t="shared" si="27"/>
        <v>647.5</v>
      </c>
      <c r="AD126" s="392">
        <f t="shared" si="27"/>
        <v>0</v>
      </c>
      <c r="AE126" s="392">
        <f t="shared" si="27"/>
        <v>0</v>
      </c>
      <c r="AG126" s="409">
        <f t="shared" si="32"/>
        <v>0</v>
      </c>
      <c r="AH126" s="409">
        <f t="shared" si="32"/>
        <v>0</v>
      </c>
      <c r="AI126" s="409">
        <f t="shared" si="32"/>
        <v>1</v>
      </c>
      <c r="AJ126" s="409">
        <f t="shared" si="32"/>
        <v>0</v>
      </c>
      <c r="AK126" s="409">
        <f t="shared" si="32"/>
        <v>0</v>
      </c>
      <c r="AN126" s="391">
        <v>19424.87</v>
      </c>
      <c r="AO126" s="423">
        <f t="shared" si="33"/>
        <v>0</v>
      </c>
    </row>
    <row r="127" spans="1:41">
      <c r="A127" s="391" t="s">
        <v>585</v>
      </c>
      <c r="B127" s="408">
        <v>34454</v>
      </c>
      <c r="C127" s="391" t="s">
        <v>785</v>
      </c>
      <c r="D127" s="391" t="s">
        <v>786</v>
      </c>
      <c r="E127" s="391" t="s">
        <v>539</v>
      </c>
      <c r="F127" s="391" t="s">
        <v>540</v>
      </c>
      <c r="G127" s="391">
        <v>30</v>
      </c>
      <c r="H127" s="392">
        <v>56533.18</v>
      </c>
      <c r="I127" s="392">
        <v>41420.120000000003</v>
      </c>
      <c r="J127" s="392">
        <v>1884.44</v>
      </c>
      <c r="K127" s="391" t="s">
        <v>505</v>
      </c>
      <c r="L127" s="391" t="s">
        <v>505</v>
      </c>
      <c r="O127" s="392">
        <f t="shared" si="34"/>
        <v>0</v>
      </c>
      <c r="P127" s="392">
        <f t="shared" si="34"/>
        <v>0</v>
      </c>
      <c r="Q127" s="392">
        <f t="shared" si="34"/>
        <v>56533.18</v>
      </c>
      <c r="R127" s="392">
        <f t="shared" si="34"/>
        <v>0</v>
      </c>
      <c r="S127" s="392">
        <f t="shared" si="34"/>
        <v>0</v>
      </c>
      <c r="U127" s="392">
        <f t="shared" si="26"/>
        <v>0</v>
      </c>
      <c r="V127" s="392">
        <f t="shared" si="26"/>
        <v>0</v>
      </c>
      <c r="W127" s="392">
        <f t="shared" si="26"/>
        <v>41420.120000000003</v>
      </c>
      <c r="X127" s="392">
        <f t="shared" si="26"/>
        <v>0</v>
      </c>
      <c r="Y127" s="392">
        <f t="shared" si="26"/>
        <v>0</v>
      </c>
      <c r="AA127" s="392">
        <f t="shared" si="27"/>
        <v>0</v>
      </c>
      <c r="AB127" s="392">
        <f t="shared" si="27"/>
        <v>0</v>
      </c>
      <c r="AC127" s="392">
        <f t="shared" si="27"/>
        <v>1884.44</v>
      </c>
      <c r="AD127" s="392">
        <f t="shared" si="27"/>
        <v>0</v>
      </c>
      <c r="AE127" s="392">
        <f t="shared" si="27"/>
        <v>0</v>
      </c>
      <c r="AG127" s="409">
        <f t="shared" si="32"/>
        <v>0</v>
      </c>
      <c r="AH127" s="409">
        <f t="shared" si="32"/>
        <v>0</v>
      </c>
      <c r="AI127" s="409">
        <f t="shared" si="32"/>
        <v>1</v>
      </c>
      <c r="AJ127" s="409">
        <f t="shared" si="32"/>
        <v>0</v>
      </c>
      <c r="AK127" s="409">
        <f t="shared" si="32"/>
        <v>0</v>
      </c>
      <c r="AN127" s="391">
        <v>56533.18</v>
      </c>
      <c r="AO127" s="423">
        <f t="shared" si="33"/>
        <v>0</v>
      </c>
    </row>
    <row r="128" spans="1:41">
      <c r="A128" s="391" t="s">
        <v>632</v>
      </c>
      <c r="B128" s="408">
        <v>34492</v>
      </c>
      <c r="C128" s="391" t="s">
        <v>787</v>
      </c>
      <c r="D128" s="391" t="s">
        <v>788</v>
      </c>
      <c r="E128" s="391" t="s">
        <v>539</v>
      </c>
      <c r="F128" s="391" t="s">
        <v>540</v>
      </c>
      <c r="G128" s="391">
        <v>5</v>
      </c>
      <c r="H128" s="392">
        <v>1125</v>
      </c>
      <c r="I128" s="392">
        <v>1125</v>
      </c>
      <c r="J128" s="392">
        <v>0</v>
      </c>
      <c r="K128" s="391" t="s">
        <v>515</v>
      </c>
      <c r="L128" s="391" t="s">
        <v>515</v>
      </c>
      <c r="O128" s="392">
        <f t="shared" si="34"/>
        <v>0</v>
      </c>
      <c r="P128" s="392">
        <f t="shared" si="34"/>
        <v>0</v>
      </c>
      <c r="Q128" s="392">
        <f t="shared" si="34"/>
        <v>0</v>
      </c>
      <c r="R128" s="392">
        <f t="shared" si="34"/>
        <v>1125</v>
      </c>
      <c r="S128" s="392">
        <f t="shared" si="34"/>
        <v>0</v>
      </c>
      <c r="U128" s="392">
        <f t="shared" si="26"/>
        <v>0</v>
      </c>
      <c r="V128" s="392">
        <f t="shared" si="26"/>
        <v>0</v>
      </c>
      <c r="W128" s="392">
        <f t="shared" si="26"/>
        <v>0</v>
      </c>
      <c r="X128" s="392">
        <f t="shared" si="26"/>
        <v>1125</v>
      </c>
      <c r="Y128" s="392">
        <f t="shared" si="26"/>
        <v>0</v>
      </c>
      <c r="AA128" s="392">
        <f t="shared" si="27"/>
        <v>0</v>
      </c>
      <c r="AB128" s="392">
        <f t="shared" si="27"/>
        <v>0</v>
      </c>
      <c r="AC128" s="392">
        <f t="shared" si="27"/>
        <v>0</v>
      </c>
      <c r="AD128" s="392">
        <f t="shared" si="27"/>
        <v>0</v>
      </c>
      <c r="AE128" s="392">
        <f t="shared" si="27"/>
        <v>0</v>
      </c>
      <c r="AG128" s="409">
        <f t="shared" si="32"/>
        <v>0</v>
      </c>
      <c r="AH128" s="409">
        <f t="shared" si="32"/>
        <v>0</v>
      </c>
      <c r="AI128" s="409">
        <f t="shared" si="32"/>
        <v>0</v>
      </c>
      <c r="AJ128" s="409">
        <f t="shared" si="32"/>
        <v>1</v>
      </c>
      <c r="AK128" s="409">
        <f t="shared" si="32"/>
        <v>0</v>
      </c>
      <c r="AN128" s="391">
        <v>1125</v>
      </c>
      <c r="AO128" s="423">
        <f t="shared" si="33"/>
        <v>0</v>
      </c>
    </row>
    <row r="129" spans="1:41">
      <c r="A129" s="391" t="s">
        <v>632</v>
      </c>
      <c r="B129" s="408">
        <v>34621</v>
      </c>
      <c r="C129" s="391" t="s">
        <v>789</v>
      </c>
      <c r="D129" s="391" t="s">
        <v>790</v>
      </c>
      <c r="E129" s="391" t="s">
        <v>539</v>
      </c>
      <c r="F129" s="391" t="s">
        <v>540</v>
      </c>
      <c r="G129" s="391">
        <v>5</v>
      </c>
      <c r="H129" s="392">
        <v>1145</v>
      </c>
      <c r="I129" s="392">
        <v>1145</v>
      </c>
      <c r="J129" s="392">
        <v>0</v>
      </c>
      <c r="K129" s="391" t="s">
        <v>515</v>
      </c>
      <c r="L129" s="391" t="s">
        <v>515</v>
      </c>
      <c r="O129" s="392">
        <f t="shared" si="34"/>
        <v>0</v>
      </c>
      <c r="P129" s="392">
        <f t="shared" si="34"/>
        <v>0</v>
      </c>
      <c r="Q129" s="392">
        <f t="shared" si="34"/>
        <v>0</v>
      </c>
      <c r="R129" s="392">
        <f t="shared" si="34"/>
        <v>1145</v>
      </c>
      <c r="S129" s="392">
        <f t="shared" si="34"/>
        <v>0</v>
      </c>
      <c r="U129" s="392">
        <f t="shared" si="26"/>
        <v>0</v>
      </c>
      <c r="V129" s="392">
        <f t="shared" si="26"/>
        <v>0</v>
      </c>
      <c r="W129" s="392">
        <f t="shared" si="26"/>
        <v>0</v>
      </c>
      <c r="X129" s="392">
        <f t="shared" si="26"/>
        <v>1145</v>
      </c>
      <c r="Y129" s="392">
        <f t="shared" si="26"/>
        <v>0</v>
      </c>
      <c r="AA129" s="392">
        <f t="shared" si="27"/>
        <v>0</v>
      </c>
      <c r="AB129" s="392">
        <f t="shared" si="27"/>
        <v>0</v>
      </c>
      <c r="AC129" s="392">
        <f t="shared" si="27"/>
        <v>0</v>
      </c>
      <c r="AD129" s="392">
        <f t="shared" si="27"/>
        <v>0</v>
      </c>
      <c r="AE129" s="392">
        <f t="shared" si="27"/>
        <v>0</v>
      </c>
      <c r="AG129" s="409">
        <f t="shared" si="32"/>
        <v>0</v>
      </c>
      <c r="AH129" s="409">
        <f t="shared" si="32"/>
        <v>0</v>
      </c>
      <c r="AI129" s="409">
        <f t="shared" si="32"/>
        <v>0</v>
      </c>
      <c r="AJ129" s="409">
        <f t="shared" si="32"/>
        <v>1</v>
      </c>
      <c r="AK129" s="409">
        <f t="shared" si="32"/>
        <v>0</v>
      </c>
      <c r="AN129" s="391">
        <v>1145</v>
      </c>
      <c r="AO129" s="423">
        <f t="shared" si="33"/>
        <v>0</v>
      </c>
    </row>
    <row r="130" spans="1:41">
      <c r="A130" s="391" t="s">
        <v>682</v>
      </c>
      <c r="B130" s="408">
        <v>34789</v>
      </c>
      <c r="C130" s="391" t="s">
        <v>791</v>
      </c>
      <c r="D130" s="391" t="s">
        <v>792</v>
      </c>
      <c r="E130" s="391" t="s">
        <v>539</v>
      </c>
      <c r="F130" s="391" t="s">
        <v>540</v>
      </c>
      <c r="G130" s="391">
        <v>8</v>
      </c>
      <c r="H130" s="392">
        <v>55855</v>
      </c>
      <c r="I130" s="392">
        <v>55855</v>
      </c>
      <c r="J130" s="392">
        <v>0</v>
      </c>
      <c r="K130" s="391" t="s">
        <v>515</v>
      </c>
      <c r="L130" s="391" t="s">
        <v>515</v>
      </c>
      <c r="O130" s="392">
        <f t="shared" si="34"/>
        <v>0</v>
      </c>
      <c r="P130" s="392">
        <f t="shared" si="34"/>
        <v>0</v>
      </c>
      <c r="Q130" s="392">
        <f t="shared" si="34"/>
        <v>0</v>
      </c>
      <c r="R130" s="392">
        <f t="shared" si="34"/>
        <v>55855</v>
      </c>
      <c r="S130" s="392">
        <f t="shared" si="34"/>
        <v>0</v>
      </c>
      <c r="U130" s="392">
        <f t="shared" si="26"/>
        <v>0</v>
      </c>
      <c r="V130" s="392">
        <f t="shared" si="26"/>
        <v>0</v>
      </c>
      <c r="W130" s="392">
        <f t="shared" si="26"/>
        <v>0</v>
      </c>
      <c r="X130" s="392">
        <f t="shared" si="26"/>
        <v>55855</v>
      </c>
      <c r="Y130" s="392">
        <f t="shared" si="26"/>
        <v>0</v>
      </c>
      <c r="AA130" s="392">
        <f t="shared" si="27"/>
        <v>0</v>
      </c>
      <c r="AB130" s="392">
        <f t="shared" si="27"/>
        <v>0</v>
      </c>
      <c r="AC130" s="392">
        <f t="shared" si="27"/>
        <v>0</v>
      </c>
      <c r="AD130" s="392">
        <f t="shared" si="27"/>
        <v>0</v>
      </c>
      <c r="AE130" s="392">
        <f t="shared" si="27"/>
        <v>0</v>
      </c>
      <c r="AG130" s="409">
        <f t="shared" si="32"/>
        <v>0</v>
      </c>
      <c r="AH130" s="409">
        <f t="shared" si="32"/>
        <v>0</v>
      </c>
      <c r="AI130" s="409">
        <f t="shared" si="32"/>
        <v>0</v>
      </c>
      <c r="AJ130" s="409">
        <f t="shared" si="32"/>
        <v>1</v>
      </c>
      <c r="AK130" s="409">
        <f t="shared" si="32"/>
        <v>0</v>
      </c>
      <c r="AN130" s="391">
        <v>55855</v>
      </c>
      <c r="AO130" s="423">
        <f t="shared" si="33"/>
        <v>0</v>
      </c>
    </row>
    <row r="131" spans="1:41">
      <c r="A131" s="391" t="s">
        <v>632</v>
      </c>
      <c r="B131" s="408">
        <v>34802</v>
      </c>
      <c r="C131" s="391" t="s">
        <v>793</v>
      </c>
      <c r="D131" s="391" t="s">
        <v>794</v>
      </c>
      <c r="E131" s="391" t="s">
        <v>539</v>
      </c>
      <c r="F131" s="391" t="s">
        <v>540</v>
      </c>
      <c r="G131" s="391">
        <v>5</v>
      </c>
      <c r="H131" s="392">
        <v>3260</v>
      </c>
      <c r="I131" s="392">
        <v>3260</v>
      </c>
      <c r="J131" s="392">
        <v>0</v>
      </c>
      <c r="K131" s="391" t="s">
        <v>515</v>
      </c>
      <c r="L131" s="391" t="s">
        <v>515</v>
      </c>
      <c r="O131" s="392">
        <f t="shared" si="34"/>
        <v>0</v>
      </c>
      <c r="P131" s="392">
        <f t="shared" si="34"/>
        <v>0</v>
      </c>
      <c r="Q131" s="392">
        <f t="shared" si="34"/>
        <v>0</v>
      </c>
      <c r="R131" s="392">
        <f t="shared" si="34"/>
        <v>3260</v>
      </c>
      <c r="S131" s="392">
        <f t="shared" si="34"/>
        <v>0</v>
      </c>
      <c r="U131" s="392">
        <f t="shared" si="26"/>
        <v>0</v>
      </c>
      <c r="V131" s="392">
        <f t="shared" si="26"/>
        <v>0</v>
      </c>
      <c r="W131" s="392">
        <f t="shared" si="26"/>
        <v>0</v>
      </c>
      <c r="X131" s="392">
        <f t="shared" si="26"/>
        <v>3260</v>
      </c>
      <c r="Y131" s="392">
        <f t="shared" si="26"/>
        <v>0</v>
      </c>
      <c r="AA131" s="392">
        <f t="shared" si="27"/>
        <v>0</v>
      </c>
      <c r="AB131" s="392">
        <f t="shared" si="27"/>
        <v>0</v>
      </c>
      <c r="AC131" s="392">
        <f t="shared" si="27"/>
        <v>0</v>
      </c>
      <c r="AD131" s="392">
        <f t="shared" si="27"/>
        <v>0</v>
      </c>
      <c r="AE131" s="392">
        <f t="shared" si="27"/>
        <v>0</v>
      </c>
      <c r="AG131" s="409">
        <f t="shared" si="32"/>
        <v>0</v>
      </c>
      <c r="AH131" s="409">
        <f t="shared" si="32"/>
        <v>0</v>
      </c>
      <c r="AI131" s="409">
        <f t="shared" si="32"/>
        <v>0</v>
      </c>
      <c r="AJ131" s="409">
        <f t="shared" si="32"/>
        <v>1</v>
      </c>
      <c r="AK131" s="409">
        <f t="shared" si="32"/>
        <v>0</v>
      </c>
      <c r="AN131" s="391">
        <v>3260</v>
      </c>
      <c r="AO131" s="423">
        <f t="shared" si="33"/>
        <v>0</v>
      </c>
    </row>
    <row r="132" spans="1:41">
      <c r="A132" s="391" t="s">
        <v>567</v>
      </c>
      <c r="B132" s="408">
        <v>34819</v>
      </c>
      <c r="C132" s="391" t="s">
        <v>795</v>
      </c>
      <c r="D132" s="391" t="s">
        <v>796</v>
      </c>
      <c r="E132" s="391" t="s">
        <v>539</v>
      </c>
      <c r="F132" s="391" t="s">
        <v>540</v>
      </c>
      <c r="G132" s="391">
        <v>30</v>
      </c>
      <c r="H132" s="392">
        <v>41631.120000000003</v>
      </c>
      <c r="I132" s="392">
        <v>29117.97</v>
      </c>
      <c r="J132" s="392">
        <v>1387.7</v>
      </c>
      <c r="K132" s="391" t="s">
        <v>505</v>
      </c>
      <c r="L132" s="391" t="s">
        <v>505</v>
      </c>
      <c r="O132" s="392">
        <f t="shared" si="34"/>
        <v>0</v>
      </c>
      <c r="P132" s="392">
        <f t="shared" si="34"/>
        <v>0</v>
      </c>
      <c r="Q132" s="392">
        <f t="shared" si="34"/>
        <v>41631.120000000003</v>
      </c>
      <c r="R132" s="392">
        <f t="shared" si="34"/>
        <v>0</v>
      </c>
      <c r="S132" s="392">
        <f t="shared" si="34"/>
        <v>0</v>
      </c>
      <c r="U132" s="392">
        <f t="shared" si="26"/>
        <v>0</v>
      </c>
      <c r="V132" s="392">
        <f t="shared" si="26"/>
        <v>0</v>
      </c>
      <c r="W132" s="392">
        <f t="shared" si="26"/>
        <v>29117.97</v>
      </c>
      <c r="X132" s="392">
        <f t="shared" si="26"/>
        <v>0</v>
      </c>
      <c r="Y132" s="392">
        <f t="shared" si="26"/>
        <v>0</v>
      </c>
      <c r="AA132" s="392">
        <f t="shared" si="27"/>
        <v>0</v>
      </c>
      <c r="AB132" s="392">
        <f t="shared" si="27"/>
        <v>0</v>
      </c>
      <c r="AC132" s="392">
        <f t="shared" si="27"/>
        <v>1387.7</v>
      </c>
      <c r="AD132" s="392">
        <f t="shared" si="27"/>
        <v>0</v>
      </c>
      <c r="AE132" s="392">
        <f t="shared" si="27"/>
        <v>0</v>
      </c>
      <c r="AG132" s="409">
        <f t="shared" si="32"/>
        <v>0</v>
      </c>
      <c r="AH132" s="409">
        <f t="shared" si="32"/>
        <v>0</v>
      </c>
      <c r="AI132" s="409">
        <f t="shared" si="32"/>
        <v>1</v>
      </c>
      <c r="AJ132" s="409">
        <f t="shared" si="32"/>
        <v>0</v>
      </c>
      <c r="AK132" s="409">
        <f t="shared" si="32"/>
        <v>0</v>
      </c>
      <c r="AN132" s="391">
        <v>41631.120000000003</v>
      </c>
      <c r="AO132" s="423">
        <f t="shared" si="33"/>
        <v>0</v>
      </c>
    </row>
    <row r="133" spans="1:41">
      <c r="A133" s="391" t="s">
        <v>616</v>
      </c>
      <c r="B133" s="408">
        <v>34819</v>
      </c>
      <c r="C133" s="391" t="s">
        <v>797</v>
      </c>
      <c r="D133" s="391" t="s">
        <v>798</v>
      </c>
      <c r="E133" s="391" t="s">
        <v>539</v>
      </c>
      <c r="F133" s="391" t="s">
        <v>540</v>
      </c>
      <c r="G133" s="391">
        <v>25</v>
      </c>
      <c r="H133" s="392">
        <v>42436.5</v>
      </c>
      <c r="I133" s="392">
        <v>35618.6</v>
      </c>
      <c r="J133" s="392">
        <v>1697.46</v>
      </c>
      <c r="K133" s="391" t="s">
        <v>505</v>
      </c>
      <c r="L133" s="391" t="s">
        <v>505</v>
      </c>
      <c r="O133" s="392">
        <f t="shared" si="34"/>
        <v>0</v>
      </c>
      <c r="P133" s="392">
        <f t="shared" si="34"/>
        <v>0</v>
      </c>
      <c r="Q133" s="392">
        <f t="shared" si="34"/>
        <v>42436.5</v>
      </c>
      <c r="R133" s="392">
        <f t="shared" si="34"/>
        <v>0</v>
      </c>
      <c r="S133" s="392">
        <f t="shared" si="34"/>
        <v>0</v>
      </c>
      <c r="U133" s="392">
        <f t="shared" si="26"/>
        <v>0</v>
      </c>
      <c r="V133" s="392">
        <f t="shared" si="26"/>
        <v>0</v>
      </c>
      <c r="W133" s="392">
        <f t="shared" si="26"/>
        <v>35618.6</v>
      </c>
      <c r="X133" s="392">
        <f t="shared" si="26"/>
        <v>0</v>
      </c>
      <c r="Y133" s="392">
        <f t="shared" si="26"/>
        <v>0</v>
      </c>
      <c r="AA133" s="392">
        <f t="shared" si="27"/>
        <v>0</v>
      </c>
      <c r="AB133" s="392">
        <f t="shared" si="27"/>
        <v>0</v>
      </c>
      <c r="AC133" s="392">
        <f t="shared" si="27"/>
        <v>1697.46</v>
      </c>
      <c r="AD133" s="392">
        <f t="shared" si="27"/>
        <v>0</v>
      </c>
      <c r="AE133" s="392">
        <f t="shared" si="27"/>
        <v>0</v>
      </c>
      <c r="AG133" s="409">
        <f t="shared" si="32"/>
        <v>0</v>
      </c>
      <c r="AH133" s="409">
        <f t="shared" si="32"/>
        <v>0</v>
      </c>
      <c r="AI133" s="409">
        <f t="shared" si="32"/>
        <v>1</v>
      </c>
      <c r="AJ133" s="409">
        <f t="shared" si="32"/>
        <v>0</v>
      </c>
      <c r="AK133" s="409">
        <f t="shared" si="32"/>
        <v>0</v>
      </c>
      <c r="AN133" s="391">
        <v>42436.5</v>
      </c>
      <c r="AO133" s="423">
        <f t="shared" si="33"/>
        <v>0</v>
      </c>
    </row>
    <row r="134" spans="1:41">
      <c r="A134" s="391" t="s">
        <v>592</v>
      </c>
      <c r="B134" s="408">
        <v>34819</v>
      </c>
      <c r="C134" s="391" t="s">
        <v>799</v>
      </c>
      <c r="D134" s="391" t="s">
        <v>800</v>
      </c>
      <c r="E134" s="391" t="s">
        <v>539</v>
      </c>
      <c r="F134" s="391" t="s">
        <v>540</v>
      </c>
      <c r="G134" s="391">
        <v>30</v>
      </c>
      <c r="H134" s="392">
        <v>206297.74</v>
      </c>
      <c r="I134" s="392">
        <v>144289.82</v>
      </c>
      <c r="J134" s="392">
        <v>6876.59</v>
      </c>
      <c r="K134" s="391" t="s">
        <v>505</v>
      </c>
      <c r="L134" s="391" t="s">
        <v>505</v>
      </c>
      <c r="O134" s="392">
        <f t="shared" si="34"/>
        <v>0</v>
      </c>
      <c r="P134" s="392">
        <f t="shared" si="34"/>
        <v>0</v>
      </c>
      <c r="Q134" s="392">
        <f t="shared" si="34"/>
        <v>206297.74</v>
      </c>
      <c r="R134" s="392">
        <f t="shared" si="34"/>
        <v>0</v>
      </c>
      <c r="S134" s="392">
        <f t="shared" si="34"/>
        <v>0</v>
      </c>
      <c r="U134" s="392">
        <f t="shared" si="26"/>
        <v>0</v>
      </c>
      <c r="V134" s="392">
        <f t="shared" si="26"/>
        <v>0</v>
      </c>
      <c r="W134" s="392">
        <f t="shared" si="26"/>
        <v>144289.82</v>
      </c>
      <c r="X134" s="392">
        <f t="shared" si="26"/>
        <v>0</v>
      </c>
      <c r="Y134" s="392">
        <f t="shared" si="26"/>
        <v>0</v>
      </c>
      <c r="AA134" s="392">
        <f t="shared" si="27"/>
        <v>0</v>
      </c>
      <c r="AB134" s="392">
        <f t="shared" si="27"/>
        <v>0</v>
      </c>
      <c r="AC134" s="392">
        <f t="shared" si="27"/>
        <v>6876.59</v>
      </c>
      <c r="AD134" s="392">
        <f t="shared" si="27"/>
        <v>0</v>
      </c>
      <c r="AE134" s="392">
        <f t="shared" si="27"/>
        <v>0</v>
      </c>
      <c r="AG134" s="409">
        <f t="shared" si="32"/>
        <v>0</v>
      </c>
      <c r="AH134" s="409">
        <f t="shared" si="32"/>
        <v>0</v>
      </c>
      <c r="AI134" s="409">
        <f t="shared" si="32"/>
        <v>1</v>
      </c>
      <c r="AJ134" s="409">
        <f t="shared" si="32"/>
        <v>0</v>
      </c>
      <c r="AK134" s="409">
        <f t="shared" si="32"/>
        <v>0</v>
      </c>
      <c r="AN134" s="391">
        <v>206297.74</v>
      </c>
      <c r="AO134" s="423">
        <f t="shared" si="33"/>
        <v>0</v>
      </c>
    </row>
    <row r="135" spans="1:41">
      <c r="A135" s="391" t="s">
        <v>554</v>
      </c>
      <c r="B135" s="408">
        <v>34819</v>
      </c>
      <c r="C135" s="391" t="s">
        <v>801</v>
      </c>
      <c r="D135" s="391" t="s">
        <v>802</v>
      </c>
      <c r="E135" s="391" t="s">
        <v>539</v>
      </c>
      <c r="F135" s="391" t="s">
        <v>540</v>
      </c>
      <c r="G135" s="391">
        <v>30</v>
      </c>
      <c r="H135" s="392">
        <v>61532.61</v>
      </c>
      <c r="I135" s="392">
        <v>43034.149999999994</v>
      </c>
      <c r="J135" s="392">
        <v>2051.09</v>
      </c>
      <c r="K135" s="391" t="s">
        <v>505</v>
      </c>
      <c r="L135" s="391" t="s">
        <v>505</v>
      </c>
      <c r="O135" s="392">
        <f t="shared" ref="O135:S140" si="35">IF(O$8=$K135,$H135,0)</f>
        <v>0</v>
      </c>
      <c r="P135" s="392">
        <f t="shared" si="35"/>
        <v>0</v>
      </c>
      <c r="Q135" s="392">
        <f t="shared" si="35"/>
        <v>61532.61</v>
      </c>
      <c r="R135" s="392">
        <f t="shared" si="35"/>
        <v>0</v>
      </c>
      <c r="S135" s="392">
        <f t="shared" si="35"/>
        <v>0</v>
      </c>
      <c r="U135" s="392">
        <f t="shared" si="26"/>
        <v>0</v>
      </c>
      <c r="V135" s="392">
        <f t="shared" si="26"/>
        <v>0</v>
      </c>
      <c r="W135" s="392">
        <f t="shared" si="26"/>
        <v>43034.149999999994</v>
      </c>
      <c r="X135" s="392">
        <f t="shared" si="26"/>
        <v>0</v>
      </c>
      <c r="Y135" s="392">
        <f t="shared" si="26"/>
        <v>0</v>
      </c>
      <c r="AA135" s="392">
        <f t="shared" si="27"/>
        <v>0</v>
      </c>
      <c r="AB135" s="392">
        <f t="shared" si="27"/>
        <v>0</v>
      </c>
      <c r="AC135" s="392">
        <f t="shared" si="27"/>
        <v>2051.09</v>
      </c>
      <c r="AD135" s="392">
        <f t="shared" si="27"/>
        <v>0</v>
      </c>
      <c r="AE135" s="392">
        <f t="shared" si="27"/>
        <v>0</v>
      </c>
      <c r="AG135" s="409">
        <f t="shared" si="32"/>
        <v>0</v>
      </c>
      <c r="AH135" s="409">
        <f t="shared" si="32"/>
        <v>0</v>
      </c>
      <c r="AI135" s="409">
        <f t="shared" si="32"/>
        <v>1</v>
      </c>
      <c r="AJ135" s="409">
        <f t="shared" si="32"/>
        <v>0</v>
      </c>
      <c r="AK135" s="409">
        <f t="shared" si="32"/>
        <v>0</v>
      </c>
      <c r="AN135" s="391">
        <v>61532.61</v>
      </c>
      <c r="AO135" s="423">
        <f t="shared" si="33"/>
        <v>0</v>
      </c>
    </row>
    <row r="136" spans="1:41">
      <c r="A136" s="391" t="s">
        <v>646</v>
      </c>
      <c r="B136" s="408">
        <v>35097</v>
      </c>
      <c r="C136" s="391" t="s">
        <v>803</v>
      </c>
      <c r="D136" s="391" t="s">
        <v>804</v>
      </c>
      <c r="E136" s="391" t="s">
        <v>539</v>
      </c>
      <c r="F136" s="391" t="s">
        <v>540</v>
      </c>
      <c r="G136" s="391">
        <v>8</v>
      </c>
      <c r="H136" s="392">
        <v>99795</v>
      </c>
      <c r="I136" s="392">
        <v>99795</v>
      </c>
      <c r="J136" s="392">
        <v>0</v>
      </c>
      <c r="K136" s="391" t="s">
        <v>515</v>
      </c>
      <c r="L136" s="391" t="s">
        <v>515</v>
      </c>
      <c r="O136" s="392">
        <f t="shared" si="35"/>
        <v>0</v>
      </c>
      <c r="P136" s="392">
        <f t="shared" si="35"/>
        <v>0</v>
      </c>
      <c r="Q136" s="392">
        <f t="shared" si="35"/>
        <v>0</v>
      </c>
      <c r="R136" s="392">
        <f t="shared" si="35"/>
        <v>99795</v>
      </c>
      <c r="S136" s="392">
        <f t="shared" si="35"/>
        <v>0</v>
      </c>
      <c r="U136" s="392">
        <f t="shared" si="26"/>
        <v>0</v>
      </c>
      <c r="V136" s="392">
        <f t="shared" si="26"/>
        <v>0</v>
      </c>
      <c r="W136" s="392">
        <f t="shared" si="26"/>
        <v>0</v>
      </c>
      <c r="X136" s="392">
        <f t="shared" si="26"/>
        <v>99795</v>
      </c>
      <c r="Y136" s="392">
        <f t="shared" si="26"/>
        <v>0</v>
      </c>
      <c r="AA136" s="392">
        <f t="shared" si="27"/>
        <v>0</v>
      </c>
      <c r="AB136" s="392">
        <f t="shared" si="27"/>
        <v>0</v>
      </c>
      <c r="AC136" s="392">
        <f t="shared" si="27"/>
        <v>0</v>
      </c>
      <c r="AD136" s="392">
        <f t="shared" si="27"/>
        <v>0</v>
      </c>
      <c r="AE136" s="392">
        <f t="shared" si="27"/>
        <v>0</v>
      </c>
      <c r="AG136" s="409">
        <f t="shared" si="32"/>
        <v>0</v>
      </c>
      <c r="AH136" s="409">
        <f t="shared" si="32"/>
        <v>0</v>
      </c>
      <c r="AI136" s="409">
        <f t="shared" si="32"/>
        <v>0</v>
      </c>
      <c r="AJ136" s="409">
        <f t="shared" si="32"/>
        <v>1</v>
      </c>
      <c r="AK136" s="409">
        <f t="shared" si="32"/>
        <v>0</v>
      </c>
      <c r="AN136" s="391">
        <v>99795</v>
      </c>
      <c r="AO136" s="423">
        <f t="shared" si="33"/>
        <v>0</v>
      </c>
    </row>
    <row r="137" spans="1:41">
      <c r="A137" s="391" t="s">
        <v>682</v>
      </c>
      <c r="B137" s="408">
        <v>35139</v>
      </c>
      <c r="C137" s="391" t="s">
        <v>805</v>
      </c>
      <c r="D137" s="391" t="s">
        <v>806</v>
      </c>
      <c r="E137" s="391" t="s">
        <v>539</v>
      </c>
      <c r="F137" s="391" t="s">
        <v>540</v>
      </c>
      <c r="G137" s="391">
        <v>8</v>
      </c>
      <c r="H137" s="392">
        <v>19229.82</v>
      </c>
      <c r="I137" s="392">
        <v>19229.82</v>
      </c>
      <c r="J137" s="392">
        <v>0</v>
      </c>
      <c r="K137" s="391" t="s">
        <v>515</v>
      </c>
      <c r="L137" s="391" t="s">
        <v>515</v>
      </c>
      <c r="O137" s="392">
        <f t="shared" si="35"/>
        <v>0</v>
      </c>
      <c r="P137" s="392">
        <f t="shared" si="35"/>
        <v>0</v>
      </c>
      <c r="Q137" s="392">
        <f t="shared" si="35"/>
        <v>0</v>
      </c>
      <c r="R137" s="392">
        <f t="shared" si="35"/>
        <v>19229.82</v>
      </c>
      <c r="S137" s="392">
        <f t="shared" si="35"/>
        <v>0</v>
      </c>
      <c r="U137" s="392">
        <f t="shared" si="26"/>
        <v>0</v>
      </c>
      <c r="V137" s="392">
        <f t="shared" si="26"/>
        <v>0</v>
      </c>
      <c r="W137" s="392">
        <f t="shared" si="26"/>
        <v>0</v>
      </c>
      <c r="X137" s="392">
        <f t="shared" si="26"/>
        <v>19229.82</v>
      </c>
      <c r="Y137" s="392">
        <f t="shared" si="26"/>
        <v>0</v>
      </c>
      <c r="AA137" s="392">
        <f t="shared" si="27"/>
        <v>0</v>
      </c>
      <c r="AB137" s="392">
        <f t="shared" si="27"/>
        <v>0</v>
      </c>
      <c r="AC137" s="392">
        <f t="shared" si="27"/>
        <v>0</v>
      </c>
      <c r="AD137" s="392">
        <f t="shared" si="27"/>
        <v>0</v>
      </c>
      <c r="AE137" s="392">
        <f t="shared" si="27"/>
        <v>0</v>
      </c>
      <c r="AG137" s="409">
        <f t="shared" si="32"/>
        <v>0</v>
      </c>
      <c r="AH137" s="409">
        <f t="shared" si="32"/>
        <v>0</v>
      </c>
      <c r="AI137" s="409">
        <f t="shared" si="32"/>
        <v>0</v>
      </c>
      <c r="AJ137" s="409">
        <f t="shared" si="32"/>
        <v>1</v>
      </c>
      <c r="AK137" s="409">
        <f t="shared" si="32"/>
        <v>0</v>
      </c>
      <c r="AN137" s="391">
        <v>19229.82</v>
      </c>
      <c r="AO137" s="423">
        <f t="shared" si="33"/>
        <v>0</v>
      </c>
    </row>
    <row r="138" spans="1:41">
      <c r="A138" s="391" t="s">
        <v>682</v>
      </c>
      <c r="B138" s="408">
        <v>35139</v>
      </c>
      <c r="C138" s="391" t="s">
        <v>807</v>
      </c>
      <c r="D138" s="391" t="s">
        <v>808</v>
      </c>
      <c r="E138" s="391" t="s">
        <v>539</v>
      </c>
      <c r="F138" s="391" t="s">
        <v>540</v>
      </c>
      <c r="G138" s="391">
        <v>8</v>
      </c>
      <c r="H138" s="392">
        <v>510</v>
      </c>
      <c r="I138" s="392">
        <v>510</v>
      </c>
      <c r="J138" s="392">
        <v>0</v>
      </c>
      <c r="K138" s="391" t="s">
        <v>515</v>
      </c>
      <c r="L138" s="391" t="s">
        <v>515</v>
      </c>
      <c r="O138" s="392">
        <f t="shared" si="35"/>
        <v>0</v>
      </c>
      <c r="P138" s="392">
        <f t="shared" si="35"/>
        <v>0</v>
      </c>
      <c r="Q138" s="392">
        <f t="shared" si="35"/>
        <v>0</v>
      </c>
      <c r="R138" s="392">
        <f t="shared" si="35"/>
        <v>510</v>
      </c>
      <c r="S138" s="392">
        <f t="shared" si="35"/>
        <v>0</v>
      </c>
      <c r="U138" s="392">
        <f t="shared" si="26"/>
        <v>0</v>
      </c>
      <c r="V138" s="392">
        <f t="shared" si="26"/>
        <v>0</v>
      </c>
      <c r="W138" s="392">
        <f t="shared" si="26"/>
        <v>0</v>
      </c>
      <c r="X138" s="392">
        <f t="shared" si="26"/>
        <v>510</v>
      </c>
      <c r="Y138" s="392">
        <f t="shared" si="26"/>
        <v>0</v>
      </c>
      <c r="AA138" s="392">
        <f t="shared" si="27"/>
        <v>0</v>
      </c>
      <c r="AB138" s="392">
        <f t="shared" si="27"/>
        <v>0</v>
      </c>
      <c r="AC138" s="392">
        <f t="shared" si="27"/>
        <v>0</v>
      </c>
      <c r="AD138" s="392">
        <f t="shared" si="27"/>
        <v>0</v>
      </c>
      <c r="AE138" s="392">
        <f t="shared" si="27"/>
        <v>0</v>
      </c>
      <c r="AG138" s="409">
        <f t="shared" si="32"/>
        <v>0</v>
      </c>
      <c r="AH138" s="409">
        <f t="shared" si="32"/>
        <v>0</v>
      </c>
      <c r="AI138" s="409">
        <f t="shared" si="32"/>
        <v>0</v>
      </c>
      <c r="AJ138" s="409">
        <f t="shared" si="32"/>
        <v>1</v>
      </c>
      <c r="AK138" s="409">
        <f t="shared" si="32"/>
        <v>0</v>
      </c>
      <c r="AN138" s="391">
        <v>510</v>
      </c>
      <c r="AO138" s="423">
        <f t="shared" si="33"/>
        <v>0</v>
      </c>
    </row>
    <row r="139" spans="1:41">
      <c r="A139" s="391" t="s">
        <v>632</v>
      </c>
      <c r="B139" s="408">
        <v>35171</v>
      </c>
      <c r="C139" s="391" t="s">
        <v>809</v>
      </c>
      <c r="D139" s="391" t="s">
        <v>810</v>
      </c>
      <c r="E139" s="391" t="s">
        <v>539</v>
      </c>
      <c r="F139" s="391" t="s">
        <v>540</v>
      </c>
      <c r="G139" s="391">
        <v>8</v>
      </c>
      <c r="H139" s="392">
        <v>2297</v>
      </c>
      <c r="I139" s="392">
        <v>2297</v>
      </c>
      <c r="J139" s="392">
        <v>0</v>
      </c>
      <c r="K139" s="391" t="s">
        <v>515</v>
      </c>
      <c r="L139" s="391" t="s">
        <v>515</v>
      </c>
      <c r="O139" s="392">
        <f t="shared" si="35"/>
        <v>0</v>
      </c>
      <c r="P139" s="392">
        <f t="shared" si="35"/>
        <v>0</v>
      </c>
      <c r="Q139" s="392">
        <f t="shared" si="35"/>
        <v>0</v>
      </c>
      <c r="R139" s="392">
        <f t="shared" si="35"/>
        <v>2297</v>
      </c>
      <c r="S139" s="392">
        <f t="shared" si="35"/>
        <v>0</v>
      </c>
      <c r="U139" s="392">
        <f t="shared" si="26"/>
        <v>0</v>
      </c>
      <c r="V139" s="392">
        <f t="shared" si="26"/>
        <v>0</v>
      </c>
      <c r="W139" s="392">
        <f t="shared" si="26"/>
        <v>0</v>
      </c>
      <c r="X139" s="392">
        <f t="shared" si="26"/>
        <v>2297</v>
      </c>
      <c r="Y139" s="392">
        <f t="shared" si="26"/>
        <v>0</v>
      </c>
      <c r="AA139" s="392">
        <f t="shared" si="27"/>
        <v>0</v>
      </c>
      <c r="AB139" s="392">
        <f t="shared" si="27"/>
        <v>0</v>
      </c>
      <c r="AC139" s="392">
        <f t="shared" si="27"/>
        <v>0</v>
      </c>
      <c r="AD139" s="392">
        <f t="shared" si="27"/>
        <v>0</v>
      </c>
      <c r="AE139" s="392">
        <f t="shared" si="27"/>
        <v>0</v>
      </c>
      <c r="AG139" s="409">
        <f t="shared" si="32"/>
        <v>0</v>
      </c>
      <c r="AH139" s="409">
        <f t="shared" si="32"/>
        <v>0</v>
      </c>
      <c r="AI139" s="409">
        <f t="shared" si="32"/>
        <v>0</v>
      </c>
      <c r="AJ139" s="409">
        <f t="shared" si="32"/>
        <v>1</v>
      </c>
      <c r="AK139" s="409">
        <f t="shared" si="32"/>
        <v>0</v>
      </c>
      <c r="AN139" s="391">
        <v>2297</v>
      </c>
      <c r="AO139" s="423">
        <f t="shared" si="33"/>
        <v>0</v>
      </c>
    </row>
    <row r="140" spans="1:41">
      <c r="A140" s="391" t="s">
        <v>682</v>
      </c>
      <c r="B140" s="408">
        <v>35181</v>
      </c>
      <c r="C140" s="391" t="s">
        <v>811</v>
      </c>
      <c r="D140" s="391" t="s">
        <v>812</v>
      </c>
      <c r="E140" s="391" t="s">
        <v>539</v>
      </c>
      <c r="F140" s="391" t="s">
        <v>540</v>
      </c>
      <c r="G140" s="391">
        <v>8</v>
      </c>
      <c r="H140" s="392">
        <v>989</v>
      </c>
      <c r="I140" s="392">
        <v>989</v>
      </c>
      <c r="J140" s="392">
        <v>0</v>
      </c>
      <c r="K140" s="391" t="s">
        <v>515</v>
      </c>
      <c r="L140" s="391" t="s">
        <v>515</v>
      </c>
      <c r="O140" s="392">
        <f t="shared" si="35"/>
        <v>0</v>
      </c>
      <c r="P140" s="392">
        <f t="shared" si="35"/>
        <v>0</v>
      </c>
      <c r="Q140" s="392">
        <f t="shared" si="35"/>
        <v>0</v>
      </c>
      <c r="R140" s="392">
        <f t="shared" si="35"/>
        <v>989</v>
      </c>
      <c r="S140" s="392">
        <f t="shared" si="35"/>
        <v>0</v>
      </c>
      <c r="U140" s="392">
        <f t="shared" si="26"/>
        <v>0</v>
      </c>
      <c r="V140" s="392">
        <f t="shared" si="26"/>
        <v>0</v>
      </c>
      <c r="W140" s="392">
        <f t="shared" si="26"/>
        <v>0</v>
      </c>
      <c r="X140" s="392">
        <f t="shared" si="26"/>
        <v>989</v>
      </c>
      <c r="Y140" s="392">
        <f t="shared" si="26"/>
        <v>0</v>
      </c>
      <c r="AA140" s="392">
        <f t="shared" si="27"/>
        <v>0</v>
      </c>
      <c r="AB140" s="392">
        <f t="shared" si="27"/>
        <v>0</v>
      </c>
      <c r="AC140" s="392">
        <f t="shared" si="27"/>
        <v>0</v>
      </c>
      <c r="AD140" s="392">
        <f t="shared" si="27"/>
        <v>0</v>
      </c>
      <c r="AE140" s="392">
        <f t="shared" si="27"/>
        <v>0</v>
      </c>
      <c r="AG140" s="409">
        <f t="shared" si="32"/>
        <v>0</v>
      </c>
      <c r="AH140" s="409">
        <f t="shared" si="32"/>
        <v>0</v>
      </c>
      <c r="AI140" s="409">
        <f t="shared" si="32"/>
        <v>0</v>
      </c>
      <c r="AJ140" s="409">
        <f t="shared" si="32"/>
        <v>1</v>
      </c>
      <c r="AK140" s="409">
        <f t="shared" si="32"/>
        <v>0</v>
      </c>
      <c r="AN140" s="391">
        <v>989</v>
      </c>
      <c r="AO140" s="423">
        <f t="shared" si="33"/>
        <v>0</v>
      </c>
    </row>
    <row r="141" spans="1:41">
      <c r="A141" s="391" t="s">
        <v>813</v>
      </c>
      <c r="B141" s="408">
        <v>35185</v>
      </c>
      <c r="C141" s="391" t="s">
        <v>814</v>
      </c>
      <c r="D141" s="391" t="s">
        <v>815</v>
      </c>
      <c r="E141" s="391" t="s">
        <v>547</v>
      </c>
      <c r="F141" s="391" t="s">
        <v>540</v>
      </c>
      <c r="G141" s="391">
        <v>99</v>
      </c>
      <c r="H141" s="392">
        <v>400000</v>
      </c>
      <c r="I141" s="392">
        <v>0</v>
      </c>
      <c r="J141" s="392">
        <v>0</v>
      </c>
      <c r="K141" s="391" t="s">
        <v>516</v>
      </c>
      <c r="L141" s="391" t="s">
        <v>516</v>
      </c>
      <c r="O141" s="392">
        <f>$H141*AG141</f>
        <v>0</v>
      </c>
      <c r="P141" s="392">
        <f t="shared" ref="P141:S141" si="36">$H141*AH141</f>
        <v>120000</v>
      </c>
      <c r="Q141" s="392">
        <f t="shared" si="36"/>
        <v>280000</v>
      </c>
      <c r="R141" s="392">
        <f t="shared" si="36"/>
        <v>0</v>
      </c>
      <c r="S141" s="392">
        <f t="shared" si="36"/>
        <v>0</v>
      </c>
      <c r="U141" s="392">
        <f t="shared" si="26"/>
        <v>0</v>
      </c>
      <c r="V141" s="392">
        <f t="shared" si="26"/>
        <v>0</v>
      </c>
      <c r="W141" s="392">
        <f t="shared" si="26"/>
        <v>0</v>
      </c>
      <c r="X141" s="392">
        <f t="shared" si="26"/>
        <v>0</v>
      </c>
      <c r="Y141" s="392">
        <f t="shared" si="26"/>
        <v>0</v>
      </c>
      <c r="AA141" s="392">
        <f t="shared" si="27"/>
        <v>0</v>
      </c>
      <c r="AB141" s="392">
        <f t="shared" si="27"/>
        <v>0</v>
      </c>
      <c r="AC141" s="392">
        <f t="shared" si="27"/>
        <v>0</v>
      </c>
      <c r="AD141" s="392">
        <f t="shared" si="27"/>
        <v>0</v>
      </c>
      <c r="AE141" s="392">
        <f t="shared" si="27"/>
        <v>0</v>
      </c>
      <c r="AG141" s="410">
        <v>0</v>
      </c>
      <c r="AH141" s="410">
        <v>0.3</v>
      </c>
      <c r="AI141" s="410">
        <f>1-AH141</f>
        <v>0.7</v>
      </c>
      <c r="AJ141" s="410">
        <v>0</v>
      </c>
      <c r="AK141" s="410">
        <v>0</v>
      </c>
      <c r="AN141" s="391">
        <v>400000</v>
      </c>
      <c r="AO141" s="423">
        <f t="shared" si="33"/>
        <v>0</v>
      </c>
    </row>
    <row r="142" spans="1:41">
      <c r="A142" s="391" t="s">
        <v>567</v>
      </c>
      <c r="B142" s="408">
        <v>35185</v>
      </c>
      <c r="C142" s="391" t="s">
        <v>816</v>
      </c>
      <c r="D142" s="391" t="s">
        <v>817</v>
      </c>
      <c r="E142" s="391" t="s">
        <v>539</v>
      </c>
      <c r="F142" s="391" t="s">
        <v>540</v>
      </c>
      <c r="G142" s="391">
        <v>30</v>
      </c>
      <c r="H142" s="392">
        <v>50940.49</v>
      </c>
      <c r="I142" s="392">
        <v>33925.229999999996</v>
      </c>
      <c r="J142" s="392">
        <v>1698.02</v>
      </c>
      <c r="K142" s="391" t="s">
        <v>505</v>
      </c>
      <c r="L142" s="391" t="s">
        <v>505</v>
      </c>
      <c r="O142" s="392">
        <f t="shared" ref="O142:S153" si="37">IF(O$8=$K142,$H142,0)</f>
        <v>0</v>
      </c>
      <c r="P142" s="392">
        <f t="shared" si="37"/>
        <v>0</v>
      </c>
      <c r="Q142" s="392">
        <f t="shared" si="37"/>
        <v>50940.49</v>
      </c>
      <c r="R142" s="392">
        <f t="shared" si="37"/>
        <v>0</v>
      </c>
      <c r="S142" s="392">
        <f t="shared" si="37"/>
        <v>0</v>
      </c>
      <c r="U142" s="392">
        <f t="shared" si="26"/>
        <v>0</v>
      </c>
      <c r="V142" s="392">
        <f t="shared" si="26"/>
        <v>0</v>
      </c>
      <c r="W142" s="392">
        <f t="shared" si="26"/>
        <v>33925.229999999996</v>
      </c>
      <c r="X142" s="392">
        <f t="shared" si="26"/>
        <v>0</v>
      </c>
      <c r="Y142" s="392">
        <f t="shared" si="26"/>
        <v>0</v>
      </c>
      <c r="AA142" s="392">
        <f t="shared" si="27"/>
        <v>0</v>
      </c>
      <c r="AB142" s="392">
        <f t="shared" si="27"/>
        <v>0</v>
      </c>
      <c r="AC142" s="392">
        <f t="shared" si="27"/>
        <v>1698.02</v>
      </c>
      <c r="AD142" s="392">
        <f t="shared" si="27"/>
        <v>0</v>
      </c>
      <c r="AE142" s="392">
        <f t="shared" si="27"/>
        <v>0</v>
      </c>
      <c r="AG142" s="409">
        <f t="shared" ref="AG142:AK153" si="38">IF($H142=0,0,O142/$H142)</f>
        <v>0</v>
      </c>
      <c r="AH142" s="409">
        <f t="shared" si="38"/>
        <v>0</v>
      </c>
      <c r="AI142" s="409">
        <f t="shared" si="38"/>
        <v>1</v>
      </c>
      <c r="AJ142" s="409">
        <f t="shared" si="38"/>
        <v>0</v>
      </c>
      <c r="AK142" s="409">
        <f t="shared" si="38"/>
        <v>0</v>
      </c>
      <c r="AN142" s="391">
        <v>50940.49</v>
      </c>
      <c r="AO142" s="423">
        <f t="shared" si="33"/>
        <v>0</v>
      </c>
    </row>
    <row r="143" spans="1:41">
      <c r="A143" s="391" t="s">
        <v>616</v>
      </c>
      <c r="B143" s="408">
        <v>35185</v>
      </c>
      <c r="C143" s="391" t="s">
        <v>818</v>
      </c>
      <c r="D143" s="391" t="s">
        <v>819</v>
      </c>
      <c r="E143" s="391" t="s">
        <v>539</v>
      </c>
      <c r="F143" s="391" t="s">
        <v>540</v>
      </c>
      <c r="G143" s="391">
        <v>25</v>
      </c>
      <c r="H143" s="392">
        <v>44965.919999999998</v>
      </c>
      <c r="I143" s="392">
        <v>35756.49</v>
      </c>
      <c r="J143" s="392">
        <v>1798.64</v>
      </c>
      <c r="K143" s="391" t="s">
        <v>505</v>
      </c>
      <c r="L143" s="391" t="s">
        <v>505</v>
      </c>
      <c r="O143" s="392">
        <f t="shared" si="37"/>
        <v>0</v>
      </c>
      <c r="P143" s="392">
        <f t="shared" si="37"/>
        <v>0</v>
      </c>
      <c r="Q143" s="392">
        <f t="shared" si="37"/>
        <v>44965.919999999998</v>
      </c>
      <c r="R143" s="392">
        <f t="shared" si="37"/>
        <v>0</v>
      </c>
      <c r="S143" s="392">
        <f t="shared" si="37"/>
        <v>0</v>
      </c>
      <c r="U143" s="392">
        <f t="shared" si="26"/>
        <v>0</v>
      </c>
      <c r="V143" s="392">
        <f t="shared" si="26"/>
        <v>0</v>
      </c>
      <c r="W143" s="392">
        <f t="shared" si="26"/>
        <v>35756.49</v>
      </c>
      <c r="X143" s="392">
        <f t="shared" si="26"/>
        <v>0</v>
      </c>
      <c r="Y143" s="392">
        <f t="shared" si="26"/>
        <v>0</v>
      </c>
      <c r="AA143" s="392">
        <f t="shared" si="27"/>
        <v>0</v>
      </c>
      <c r="AB143" s="392">
        <f t="shared" si="27"/>
        <v>0</v>
      </c>
      <c r="AC143" s="392">
        <f t="shared" si="27"/>
        <v>1798.64</v>
      </c>
      <c r="AD143" s="392">
        <f t="shared" si="27"/>
        <v>0</v>
      </c>
      <c r="AE143" s="392">
        <f t="shared" si="27"/>
        <v>0</v>
      </c>
      <c r="AG143" s="409">
        <f t="shared" si="38"/>
        <v>0</v>
      </c>
      <c r="AH143" s="409">
        <f t="shared" si="38"/>
        <v>0</v>
      </c>
      <c r="AI143" s="409">
        <f t="shared" si="38"/>
        <v>1</v>
      </c>
      <c r="AJ143" s="409">
        <f t="shared" si="38"/>
        <v>0</v>
      </c>
      <c r="AK143" s="409">
        <f t="shared" si="38"/>
        <v>0</v>
      </c>
      <c r="AN143" s="391">
        <v>44965.919999999998</v>
      </c>
      <c r="AO143" s="423">
        <f t="shared" si="33"/>
        <v>0</v>
      </c>
    </row>
    <row r="144" spans="1:41">
      <c r="A144" s="391" t="s">
        <v>592</v>
      </c>
      <c r="B144" s="408">
        <v>35185</v>
      </c>
      <c r="C144" s="391" t="s">
        <v>820</v>
      </c>
      <c r="D144" s="391" t="s">
        <v>821</v>
      </c>
      <c r="E144" s="391" t="s">
        <v>539</v>
      </c>
      <c r="F144" s="391" t="s">
        <v>540</v>
      </c>
      <c r="G144" s="391">
        <v>30</v>
      </c>
      <c r="H144" s="392">
        <v>260036.98</v>
      </c>
      <c r="I144" s="392">
        <v>173234.1</v>
      </c>
      <c r="J144" s="392">
        <v>8667.9</v>
      </c>
      <c r="K144" s="391" t="s">
        <v>505</v>
      </c>
      <c r="L144" s="391" t="s">
        <v>505</v>
      </c>
      <c r="O144" s="392">
        <f t="shared" si="37"/>
        <v>0</v>
      </c>
      <c r="P144" s="392">
        <f t="shared" si="37"/>
        <v>0</v>
      </c>
      <c r="Q144" s="392">
        <f t="shared" si="37"/>
        <v>260036.98</v>
      </c>
      <c r="R144" s="392">
        <f t="shared" si="37"/>
        <v>0</v>
      </c>
      <c r="S144" s="392">
        <f t="shared" si="37"/>
        <v>0</v>
      </c>
      <c r="U144" s="392">
        <f t="shared" si="26"/>
        <v>0</v>
      </c>
      <c r="V144" s="392">
        <f t="shared" si="26"/>
        <v>0</v>
      </c>
      <c r="W144" s="392">
        <f t="shared" si="26"/>
        <v>173234.1</v>
      </c>
      <c r="X144" s="392">
        <f t="shared" si="26"/>
        <v>0</v>
      </c>
      <c r="Y144" s="392">
        <f t="shared" si="26"/>
        <v>0</v>
      </c>
      <c r="AA144" s="392">
        <f t="shared" si="27"/>
        <v>0</v>
      </c>
      <c r="AB144" s="392">
        <f t="shared" si="27"/>
        <v>0</v>
      </c>
      <c r="AC144" s="392">
        <f t="shared" si="27"/>
        <v>8667.9</v>
      </c>
      <c r="AD144" s="392">
        <f t="shared" si="27"/>
        <v>0</v>
      </c>
      <c r="AE144" s="392">
        <f t="shared" si="27"/>
        <v>0</v>
      </c>
      <c r="AG144" s="409">
        <f t="shared" si="38"/>
        <v>0</v>
      </c>
      <c r="AH144" s="409">
        <f t="shared" si="38"/>
        <v>0</v>
      </c>
      <c r="AI144" s="409">
        <f t="shared" si="38"/>
        <v>1</v>
      </c>
      <c r="AJ144" s="409">
        <f t="shared" si="38"/>
        <v>0</v>
      </c>
      <c r="AK144" s="409">
        <f t="shared" si="38"/>
        <v>0</v>
      </c>
      <c r="AN144" s="391">
        <v>260036.98</v>
      </c>
      <c r="AO144" s="423">
        <f t="shared" si="33"/>
        <v>0</v>
      </c>
    </row>
    <row r="145" spans="1:41">
      <c r="A145" s="391" t="s">
        <v>554</v>
      </c>
      <c r="B145" s="408">
        <v>35185</v>
      </c>
      <c r="C145" s="391" t="s">
        <v>822</v>
      </c>
      <c r="D145" s="391" t="s">
        <v>823</v>
      </c>
      <c r="E145" s="391" t="s">
        <v>539</v>
      </c>
      <c r="F145" s="391" t="s">
        <v>540</v>
      </c>
      <c r="G145" s="391">
        <v>30</v>
      </c>
      <c r="H145" s="392">
        <v>111591.08</v>
      </c>
      <c r="I145" s="392">
        <v>74326.11</v>
      </c>
      <c r="J145" s="392">
        <v>3719.7</v>
      </c>
      <c r="K145" s="391" t="s">
        <v>505</v>
      </c>
      <c r="L145" s="391" t="s">
        <v>505</v>
      </c>
      <c r="O145" s="392">
        <f t="shared" si="37"/>
        <v>0</v>
      </c>
      <c r="P145" s="392">
        <f t="shared" si="37"/>
        <v>0</v>
      </c>
      <c r="Q145" s="392">
        <f t="shared" si="37"/>
        <v>111591.08</v>
      </c>
      <c r="R145" s="392">
        <f t="shared" si="37"/>
        <v>0</v>
      </c>
      <c r="S145" s="392">
        <f t="shared" si="37"/>
        <v>0</v>
      </c>
      <c r="U145" s="392">
        <f t="shared" si="26"/>
        <v>0</v>
      </c>
      <c r="V145" s="392">
        <f t="shared" si="26"/>
        <v>0</v>
      </c>
      <c r="W145" s="392">
        <f t="shared" si="26"/>
        <v>74326.11</v>
      </c>
      <c r="X145" s="392">
        <f t="shared" si="26"/>
        <v>0</v>
      </c>
      <c r="Y145" s="392">
        <f t="shared" si="26"/>
        <v>0</v>
      </c>
      <c r="AA145" s="392">
        <f t="shared" si="27"/>
        <v>0</v>
      </c>
      <c r="AB145" s="392">
        <f t="shared" si="27"/>
        <v>0</v>
      </c>
      <c r="AC145" s="392">
        <f t="shared" si="27"/>
        <v>3719.7</v>
      </c>
      <c r="AD145" s="392">
        <f t="shared" si="27"/>
        <v>0</v>
      </c>
      <c r="AE145" s="392">
        <f t="shared" si="27"/>
        <v>0</v>
      </c>
      <c r="AG145" s="409">
        <f t="shared" si="38"/>
        <v>0</v>
      </c>
      <c r="AH145" s="409">
        <f t="shared" si="38"/>
        <v>0</v>
      </c>
      <c r="AI145" s="409">
        <f t="shared" si="38"/>
        <v>1</v>
      </c>
      <c r="AJ145" s="409">
        <f t="shared" si="38"/>
        <v>0</v>
      </c>
      <c r="AK145" s="409">
        <f t="shared" si="38"/>
        <v>0</v>
      </c>
      <c r="AN145" s="391">
        <v>111591.08</v>
      </c>
      <c r="AO145" s="423">
        <f t="shared" si="33"/>
        <v>0</v>
      </c>
    </row>
    <row r="146" spans="1:41">
      <c r="A146" s="391" t="s">
        <v>632</v>
      </c>
      <c r="B146" s="408">
        <v>35293</v>
      </c>
      <c r="C146" s="391" t="s">
        <v>824</v>
      </c>
      <c r="D146" s="391" t="s">
        <v>825</v>
      </c>
      <c r="E146" s="391" t="s">
        <v>539</v>
      </c>
      <c r="F146" s="391" t="s">
        <v>540</v>
      </c>
      <c r="G146" s="391">
        <v>5</v>
      </c>
      <c r="H146" s="392">
        <v>1766.88</v>
      </c>
      <c r="I146" s="392">
        <v>1766.88</v>
      </c>
      <c r="J146" s="392">
        <v>0</v>
      </c>
      <c r="K146" s="391" t="s">
        <v>515</v>
      </c>
      <c r="L146" s="391" t="s">
        <v>515</v>
      </c>
      <c r="O146" s="392">
        <f t="shared" si="37"/>
        <v>0</v>
      </c>
      <c r="P146" s="392">
        <f t="shared" si="37"/>
        <v>0</v>
      </c>
      <c r="Q146" s="392">
        <f t="shared" si="37"/>
        <v>0</v>
      </c>
      <c r="R146" s="392">
        <f t="shared" si="37"/>
        <v>1766.88</v>
      </c>
      <c r="S146" s="392">
        <f t="shared" si="37"/>
        <v>0</v>
      </c>
      <c r="U146" s="392">
        <f t="shared" ref="U146:Y191" si="39">$I146*AG146</f>
        <v>0</v>
      </c>
      <c r="V146" s="392">
        <f t="shared" si="39"/>
        <v>0</v>
      </c>
      <c r="W146" s="392">
        <f t="shared" si="39"/>
        <v>0</v>
      </c>
      <c r="X146" s="392">
        <f t="shared" si="39"/>
        <v>1766.88</v>
      </c>
      <c r="Y146" s="392">
        <f t="shared" si="39"/>
        <v>0</v>
      </c>
      <c r="AA146" s="392">
        <f t="shared" ref="AA146:AE191" si="40">$J146*AG146</f>
        <v>0</v>
      </c>
      <c r="AB146" s="392">
        <f t="shared" si="40"/>
        <v>0</v>
      </c>
      <c r="AC146" s="392">
        <f t="shared" si="40"/>
        <v>0</v>
      </c>
      <c r="AD146" s="392">
        <f t="shared" si="40"/>
        <v>0</v>
      </c>
      <c r="AE146" s="392">
        <f t="shared" si="40"/>
        <v>0</v>
      </c>
      <c r="AG146" s="409">
        <f t="shared" si="38"/>
        <v>0</v>
      </c>
      <c r="AH146" s="409">
        <f t="shared" si="38"/>
        <v>0</v>
      </c>
      <c r="AI146" s="409">
        <f t="shared" si="38"/>
        <v>0</v>
      </c>
      <c r="AJ146" s="409">
        <f t="shared" si="38"/>
        <v>1</v>
      </c>
      <c r="AK146" s="409">
        <f t="shared" si="38"/>
        <v>0</v>
      </c>
      <c r="AN146" s="391">
        <v>1766.88</v>
      </c>
      <c r="AO146" s="423">
        <f t="shared" si="33"/>
        <v>0</v>
      </c>
    </row>
    <row r="147" spans="1:41">
      <c r="A147" s="391" t="s">
        <v>632</v>
      </c>
      <c r="B147" s="408">
        <v>35363</v>
      </c>
      <c r="C147" s="391" t="s">
        <v>826</v>
      </c>
      <c r="D147" s="391" t="s">
        <v>827</v>
      </c>
      <c r="E147" s="391" t="s">
        <v>539</v>
      </c>
      <c r="F147" s="391" t="s">
        <v>540</v>
      </c>
      <c r="G147" s="391">
        <v>8</v>
      </c>
      <c r="H147" s="392">
        <v>6320</v>
      </c>
      <c r="I147" s="392">
        <v>6320</v>
      </c>
      <c r="J147" s="392">
        <v>0</v>
      </c>
      <c r="K147" s="391" t="s">
        <v>515</v>
      </c>
      <c r="L147" s="391" t="s">
        <v>515</v>
      </c>
      <c r="O147" s="392">
        <f t="shared" si="37"/>
        <v>0</v>
      </c>
      <c r="P147" s="392">
        <f t="shared" si="37"/>
        <v>0</v>
      </c>
      <c r="Q147" s="392">
        <f t="shared" si="37"/>
        <v>0</v>
      </c>
      <c r="R147" s="392">
        <f t="shared" si="37"/>
        <v>6320</v>
      </c>
      <c r="S147" s="392">
        <f t="shared" si="37"/>
        <v>0</v>
      </c>
      <c r="U147" s="392">
        <f t="shared" si="39"/>
        <v>0</v>
      </c>
      <c r="V147" s="392">
        <f t="shared" si="39"/>
        <v>0</v>
      </c>
      <c r="W147" s="392">
        <f t="shared" si="39"/>
        <v>0</v>
      </c>
      <c r="X147" s="392">
        <f t="shared" si="39"/>
        <v>6320</v>
      </c>
      <c r="Y147" s="392">
        <f t="shared" si="39"/>
        <v>0</v>
      </c>
      <c r="AA147" s="392">
        <f t="shared" si="40"/>
        <v>0</v>
      </c>
      <c r="AB147" s="392">
        <f t="shared" si="40"/>
        <v>0</v>
      </c>
      <c r="AC147" s="392">
        <f t="shared" si="40"/>
        <v>0</v>
      </c>
      <c r="AD147" s="392">
        <f t="shared" si="40"/>
        <v>0</v>
      </c>
      <c r="AE147" s="392">
        <f t="shared" si="40"/>
        <v>0</v>
      </c>
      <c r="AG147" s="409">
        <f t="shared" si="38"/>
        <v>0</v>
      </c>
      <c r="AH147" s="409">
        <f t="shared" si="38"/>
        <v>0</v>
      </c>
      <c r="AI147" s="409">
        <f t="shared" si="38"/>
        <v>0</v>
      </c>
      <c r="AJ147" s="409">
        <f t="shared" si="38"/>
        <v>1</v>
      </c>
      <c r="AK147" s="409">
        <f t="shared" si="38"/>
        <v>0</v>
      </c>
      <c r="AN147" s="391">
        <v>6320</v>
      </c>
      <c r="AO147" s="423">
        <f t="shared" si="33"/>
        <v>0</v>
      </c>
    </row>
    <row r="148" spans="1:41">
      <c r="A148" s="391" t="s">
        <v>682</v>
      </c>
      <c r="B148" s="408">
        <v>35363</v>
      </c>
      <c r="C148" s="391" t="s">
        <v>828</v>
      </c>
      <c r="D148" s="391" t="s">
        <v>829</v>
      </c>
      <c r="E148" s="391" t="s">
        <v>539</v>
      </c>
      <c r="F148" s="391" t="s">
        <v>540</v>
      </c>
      <c r="G148" s="391">
        <v>5</v>
      </c>
      <c r="H148" s="392">
        <v>549</v>
      </c>
      <c r="I148" s="392">
        <v>549</v>
      </c>
      <c r="J148" s="392">
        <v>0</v>
      </c>
      <c r="K148" s="391" t="s">
        <v>515</v>
      </c>
      <c r="L148" s="391" t="s">
        <v>515</v>
      </c>
      <c r="O148" s="392">
        <f t="shared" si="37"/>
        <v>0</v>
      </c>
      <c r="P148" s="392">
        <f t="shared" si="37"/>
        <v>0</v>
      </c>
      <c r="Q148" s="392">
        <f t="shared" si="37"/>
        <v>0</v>
      </c>
      <c r="R148" s="392">
        <f t="shared" si="37"/>
        <v>549</v>
      </c>
      <c r="S148" s="392">
        <f t="shared" si="37"/>
        <v>0</v>
      </c>
      <c r="U148" s="392">
        <f t="shared" si="39"/>
        <v>0</v>
      </c>
      <c r="V148" s="392">
        <f t="shared" si="39"/>
        <v>0</v>
      </c>
      <c r="W148" s="392">
        <f t="shared" si="39"/>
        <v>0</v>
      </c>
      <c r="X148" s="392">
        <f t="shared" si="39"/>
        <v>549</v>
      </c>
      <c r="Y148" s="392">
        <f t="shared" si="39"/>
        <v>0</v>
      </c>
      <c r="AA148" s="392">
        <f t="shared" si="40"/>
        <v>0</v>
      </c>
      <c r="AB148" s="392">
        <f t="shared" si="40"/>
        <v>0</v>
      </c>
      <c r="AC148" s="392">
        <f t="shared" si="40"/>
        <v>0</v>
      </c>
      <c r="AD148" s="392">
        <f t="shared" si="40"/>
        <v>0</v>
      </c>
      <c r="AE148" s="392">
        <f t="shared" si="40"/>
        <v>0</v>
      </c>
      <c r="AG148" s="409">
        <f t="shared" si="38"/>
        <v>0</v>
      </c>
      <c r="AH148" s="409">
        <f t="shared" si="38"/>
        <v>0</v>
      </c>
      <c r="AI148" s="409">
        <f t="shared" si="38"/>
        <v>0</v>
      </c>
      <c r="AJ148" s="409">
        <f t="shared" si="38"/>
        <v>1</v>
      </c>
      <c r="AK148" s="409">
        <f t="shared" si="38"/>
        <v>0</v>
      </c>
      <c r="AN148" s="391">
        <v>549</v>
      </c>
      <c r="AO148" s="423">
        <f t="shared" si="33"/>
        <v>0</v>
      </c>
    </row>
    <row r="149" spans="1:41">
      <c r="A149" s="391" t="s">
        <v>632</v>
      </c>
      <c r="B149" s="408">
        <v>35433</v>
      </c>
      <c r="C149" s="391" t="s">
        <v>830</v>
      </c>
      <c r="D149" s="391" t="s">
        <v>831</v>
      </c>
      <c r="E149" s="391" t="s">
        <v>539</v>
      </c>
      <c r="F149" s="391" t="s">
        <v>540</v>
      </c>
      <c r="G149" s="391">
        <v>5</v>
      </c>
      <c r="H149" s="392">
        <v>1023.51</v>
      </c>
      <c r="I149" s="392">
        <v>1023.51</v>
      </c>
      <c r="J149" s="392">
        <v>0</v>
      </c>
      <c r="K149" s="391" t="s">
        <v>515</v>
      </c>
      <c r="L149" s="391" t="s">
        <v>515</v>
      </c>
      <c r="O149" s="392">
        <f t="shared" si="37"/>
        <v>0</v>
      </c>
      <c r="P149" s="392">
        <f t="shared" si="37"/>
        <v>0</v>
      </c>
      <c r="Q149" s="392">
        <f t="shared" si="37"/>
        <v>0</v>
      </c>
      <c r="R149" s="392">
        <f t="shared" si="37"/>
        <v>1023.51</v>
      </c>
      <c r="S149" s="392">
        <f t="shared" si="37"/>
        <v>0</v>
      </c>
      <c r="U149" s="392">
        <f t="shared" si="39"/>
        <v>0</v>
      </c>
      <c r="V149" s="392">
        <f t="shared" si="39"/>
        <v>0</v>
      </c>
      <c r="W149" s="392">
        <f t="shared" si="39"/>
        <v>0</v>
      </c>
      <c r="X149" s="392">
        <f t="shared" si="39"/>
        <v>1023.51</v>
      </c>
      <c r="Y149" s="392">
        <f t="shared" si="39"/>
        <v>0</v>
      </c>
      <c r="AA149" s="392">
        <f t="shared" si="40"/>
        <v>0</v>
      </c>
      <c r="AB149" s="392">
        <f t="shared" si="40"/>
        <v>0</v>
      </c>
      <c r="AC149" s="392">
        <f t="shared" si="40"/>
        <v>0</v>
      </c>
      <c r="AD149" s="392">
        <f t="shared" si="40"/>
        <v>0</v>
      </c>
      <c r="AE149" s="392">
        <f t="shared" si="40"/>
        <v>0</v>
      </c>
      <c r="AG149" s="409">
        <f t="shared" si="38"/>
        <v>0</v>
      </c>
      <c r="AH149" s="409">
        <f t="shared" si="38"/>
        <v>0</v>
      </c>
      <c r="AI149" s="409">
        <f t="shared" si="38"/>
        <v>0</v>
      </c>
      <c r="AJ149" s="409">
        <f t="shared" si="38"/>
        <v>1</v>
      </c>
      <c r="AK149" s="409">
        <f t="shared" si="38"/>
        <v>0</v>
      </c>
      <c r="AN149" s="391">
        <v>1023.51</v>
      </c>
      <c r="AO149" s="423">
        <f t="shared" si="33"/>
        <v>0</v>
      </c>
    </row>
    <row r="150" spans="1:41">
      <c r="A150" s="391" t="s">
        <v>632</v>
      </c>
      <c r="B150" s="408">
        <v>35548</v>
      </c>
      <c r="C150" s="391" t="s">
        <v>832</v>
      </c>
      <c r="D150" s="391" t="s">
        <v>833</v>
      </c>
      <c r="E150" s="391" t="s">
        <v>539</v>
      </c>
      <c r="F150" s="391" t="s">
        <v>540</v>
      </c>
      <c r="G150" s="391">
        <v>5</v>
      </c>
      <c r="H150" s="392">
        <v>789</v>
      </c>
      <c r="I150" s="392">
        <v>789</v>
      </c>
      <c r="J150" s="392">
        <v>0</v>
      </c>
      <c r="K150" s="391" t="s">
        <v>515</v>
      </c>
      <c r="L150" s="391" t="s">
        <v>515</v>
      </c>
      <c r="O150" s="392">
        <f t="shared" si="37"/>
        <v>0</v>
      </c>
      <c r="P150" s="392">
        <f t="shared" si="37"/>
        <v>0</v>
      </c>
      <c r="Q150" s="392">
        <f t="shared" si="37"/>
        <v>0</v>
      </c>
      <c r="R150" s="392">
        <f t="shared" si="37"/>
        <v>789</v>
      </c>
      <c r="S150" s="392">
        <f t="shared" si="37"/>
        <v>0</v>
      </c>
      <c r="U150" s="392">
        <f t="shared" si="39"/>
        <v>0</v>
      </c>
      <c r="V150" s="392">
        <f t="shared" si="39"/>
        <v>0</v>
      </c>
      <c r="W150" s="392">
        <f t="shared" si="39"/>
        <v>0</v>
      </c>
      <c r="X150" s="392">
        <f t="shared" si="39"/>
        <v>789</v>
      </c>
      <c r="Y150" s="392">
        <f t="shared" si="39"/>
        <v>0</v>
      </c>
      <c r="AA150" s="392">
        <f t="shared" si="40"/>
        <v>0</v>
      </c>
      <c r="AB150" s="392">
        <f t="shared" si="40"/>
        <v>0</v>
      </c>
      <c r="AC150" s="392">
        <f t="shared" si="40"/>
        <v>0</v>
      </c>
      <c r="AD150" s="392">
        <f t="shared" si="40"/>
        <v>0</v>
      </c>
      <c r="AE150" s="392">
        <f t="shared" si="40"/>
        <v>0</v>
      </c>
      <c r="AG150" s="409">
        <f t="shared" si="38"/>
        <v>0</v>
      </c>
      <c r="AH150" s="409">
        <f t="shared" si="38"/>
        <v>0</v>
      </c>
      <c r="AI150" s="409">
        <f t="shared" si="38"/>
        <v>0</v>
      </c>
      <c r="AJ150" s="409">
        <f t="shared" si="38"/>
        <v>1</v>
      </c>
      <c r="AK150" s="409">
        <f t="shared" si="38"/>
        <v>0</v>
      </c>
      <c r="AN150" s="391">
        <v>789</v>
      </c>
      <c r="AO150" s="423">
        <f t="shared" si="33"/>
        <v>0</v>
      </c>
    </row>
    <row r="151" spans="1:41">
      <c r="A151" s="391" t="s">
        <v>567</v>
      </c>
      <c r="B151" s="408">
        <v>35550</v>
      </c>
      <c r="C151" s="391" t="s">
        <v>834</v>
      </c>
      <c r="D151" s="391" t="s">
        <v>835</v>
      </c>
      <c r="E151" s="391" t="s">
        <v>539</v>
      </c>
      <c r="F151" s="391" t="s">
        <v>540</v>
      </c>
      <c r="G151" s="391">
        <v>30</v>
      </c>
      <c r="H151" s="392">
        <v>42774.559999999998</v>
      </c>
      <c r="I151" s="392">
        <v>27085.65</v>
      </c>
      <c r="J151" s="392">
        <v>1425.82</v>
      </c>
      <c r="K151" s="391" t="s">
        <v>505</v>
      </c>
      <c r="L151" s="391" t="s">
        <v>505</v>
      </c>
      <c r="O151" s="392">
        <f t="shared" si="37"/>
        <v>0</v>
      </c>
      <c r="P151" s="392">
        <f t="shared" si="37"/>
        <v>0</v>
      </c>
      <c r="Q151" s="392">
        <f t="shared" si="37"/>
        <v>42774.559999999998</v>
      </c>
      <c r="R151" s="392">
        <f t="shared" si="37"/>
        <v>0</v>
      </c>
      <c r="S151" s="392">
        <f t="shared" si="37"/>
        <v>0</v>
      </c>
      <c r="U151" s="392">
        <f t="shared" si="39"/>
        <v>0</v>
      </c>
      <c r="V151" s="392">
        <f t="shared" si="39"/>
        <v>0</v>
      </c>
      <c r="W151" s="392">
        <f t="shared" si="39"/>
        <v>27085.65</v>
      </c>
      <c r="X151" s="392">
        <f t="shared" si="39"/>
        <v>0</v>
      </c>
      <c r="Y151" s="392">
        <f t="shared" si="39"/>
        <v>0</v>
      </c>
      <c r="AA151" s="392">
        <f t="shared" si="40"/>
        <v>0</v>
      </c>
      <c r="AB151" s="392">
        <f t="shared" si="40"/>
        <v>0</v>
      </c>
      <c r="AC151" s="392">
        <f t="shared" si="40"/>
        <v>1425.82</v>
      </c>
      <c r="AD151" s="392">
        <f t="shared" si="40"/>
        <v>0</v>
      </c>
      <c r="AE151" s="392">
        <f t="shared" si="40"/>
        <v>0</v>
      </c>
      <c r="AG151" s="409">
        <f t="shared" si="38"/>
        <v>0</v>
      </c>
      <c r="AH151" s="409">
        <f t="shared" si="38"/>
        <v>0</v>
      </c>
      <c r="AI151" s="409">
        <f t="shared" si="38"/>
        <v>1</v>
      </c>
      <c r="AJ151" s="409">
        <f t="shared" si="38"/>
        <v>0</v>
      </c>
      <c r="AK151" s="409">
        <f t="shared" si="38"/>
        <v>0</v>
      </c>
      <c r="AN151" s="391">
        <v>42774.559999999998</v>
      </c>
      <c r="AO151" s="423">
        <f t="shared" si="33"/>
        <v>0</v>
      </c>
    </row>
    <row r="152" spans="1:41">
      <c r="A152" s="391" t="s">
        <v>616</v>
      </c>
      <c r="B152" s="408">
        <v>35550</v>
      </c>
      <c r="C152" s="391" t="s">
        <v>836</v>
      </c>
      <c r="D152" s="391" t="s">
        <v>837</v>
      </c>
      <c r="E152" s="391" t="s">
        <v>539</v>
      </c>
      <c r="F152" s="391" t="s">
        <v>540</v>
      </c>
      <c r="G152" s="391">
        <v>25</v>
      </c>
      <c r="H152" s="392">
        <v>39895.040000000001</v>
      </c>
      <c r="I152" s="392">
        <v>30315.41</v>
      </c>
      <c r="J152" s="392">
        <v>1595.8</v>
      </c>
      <c r="K152" s="391" t="s">
        <v>505</v>
      </c>
      <c r="L152" s="391" t="s">
        <v>505</v>
      </c>
      <c r="O152" s="392">
        <f t="shared" si="37"/>
        <v>0</v>
      </c>
      <c r="P152" s="392">
        <f t="shared" si="37"/>
        <v>0</v>
      </c>
      <c r="Q152" s="392">
        <f t="shared" si="37"/>
        <v>39895.040000000001</v>
      </c>
      <c r="R152" s="392">
        <f t="shared" si="37"/>
        <v>0</v>
      </c>
      <c r="S152" s="392">
        <f t="shared" si="37"/>
        <v>0</v>
      </c>
      <c r="U152" s="392">
        <f t="shared" si="39"/>
        <v>0</v>
      </c>
      <c r="V152" s="392">
        <f t="shared" si="39"/>
        <v>0</v>
      </c>
      <c r="W152" s="392">
        <f t="shared" si="39"/>
        <v>30315.41</v>
      </c>
      <c r="X152" s="392">
        <f t="shared" si="39"/>
        <v>0</v>
      </c>
      <c r="Y152" s="392">
        <f t="shared" si="39"/>
        <v>0</v>
      </c>
      <c r="AA152" s="392">
        <f t="shared" si="40"/>
        <v>0</v>
      </c>
      <c r="AB152" s="392">
        <f t="shared" si="40"/>
        <v>0</v>
      </c>
      <c r="AC152" s="392">
        <f t="shared" si="40"/>
        <v>1595.8</v>
      </c>
      <c r="AD152" s="392">
        <f t="shared" si="40"/>
        <v>0</v>
      </c>
      <c r="AE152" s="392">
        <f t="shared" si="40"/>
        <v>0</v>
      </c>
      <c r="AG152" s="409">
        <f t="shared" si="38"/>
        <v>0</v>
      </c>
      <c r="AH152" s="409">
        <f t="shared" si="38"/>
        <v>0</v>
      </c>
      <c r="AI152" s="409">
        <f t="shared" si="38"/>
        <v>1</v>
      </c>
      <c r="AJ152" s="409">
        <f t="shared" si="38"/>
        <v>0</v>
      </c>
      <c r="AK152" s="409">
        <f t="shared" si="38"/>
        <v>0</v>
      </c>
      <c r="AN152" s="391">
        <v>39895.040000000001</v>
      </c>
      <c r="AO152" s="423">
        <f t="shared" si="33"/>
        <v>0</v>
      </c>
    </row>
    <row r="153" spans="1:41">
      <c r="A153" s="391" t="s">
        <v>592</v>
      </c>
      <c r="B153" s="408">
        <v>35550</v>
      </c>
      <c r="C153" s="391" t="s">
        <v>838</v>
      </c>
      <c r="D153" s="391" t="s">
        <v>839</v>
      </c>
      <c r="E153" s="391" t="s">
        <v>539</v>
      </c>
      <c r="F153" s="391" t="s">
        <v>540</v>
      </c>
      <c r="G153" s="391">
        <v>30</v>
      </c>
      <c r="H153" s="392">
        <v>307241.03000000003</v>
      </c>
      <c r="I153" s="392">
        <v>194676.47</v>
      </c>
      <c r="J153" s="392">
        <v>10241.370000000001</v>
      </c>
      <c r="K153" s="391" t="s">
        <v>505</v>
      </c>
      <c r="L153" s="391" t="s">
        <v>505</v>
      </c>
      <c r="O153" s="392">
        <f t="shared" si="37"/>
        <v>0</v>
      </c>
      <c r="P153" s="392">
        <f t="shared" si="37"/>
        <v>0</v>
      </c>
      <c r="Q153" s="392">
        <f t="shared" si="37"/>
        <v>307241.03000000003</v>
      </c>
      <c r="R153" s="392">
        <f t="shared" si="37"/>
        <v>0</v>
      </c>
      <c r="S153" s="392">
        <f t="shared" si="37"/>
        <v>0</v>
      </c>
      <c r="U153" s="392">
        <f t="shared" si="39"/>
        <v>0</v>
      </c>
      <c r="V153" s="392">
        <f t="shared" si="39"/>
        <v>0</v>
      </c>
      <c r="W153" s="392">
        <f t="shared" si="39"/>
        <v>194676.47</v>
      </c>
      <c r="X153" s="392">
        <f t="shared" si="39"/>
        <v>0</v>
      </c>
      <c r="Y153" s="392">
        <f t="shared" si="39"/>
        <v>0</v>
      </c>
      <c r="AA153" s="392">
        <f t="shared" si="40"/>
        <v>0</v>
      </c>
      <c r="AB153" s="392">
        <f t="shared" si="40"/>
        <v>0</v>
      </c>
      <c r="AC153" s="392">
        <f t="shared" si="40"/>
        <v>10241.370000000001</v>
      </c>
      <c r="AD153" s="392">
        <f t="shared" si="40"/>
        <v>0</v>
      </c>
      <c r="AE153" s="392">
        <f t="shared" si="40"/>
        <v>0</v>
      </c>
      <c r="AG153" s="409">
        <f t="shared" si="38"/>
        <v>0</v>
      </c>
      <c r="AH153" s="409">
        <f t="shared" si="38"/>
        <v>0</v>
      </c>
      <c r="AI153" s="409">
        <f t="shared" si="38"/>
        <v>1</v>
      </c>
      <c r="AJ153" s="409">
        <f t="shared" si="38"/>
        <v>0</v>
      </c>
      <c r="AK153" s="409">
        <f t="shared" si="38"/>
        <v>0</v>
      </c>
      <c r="AN153" s="391">
        <v>307241.03000000003</v>
      </c>
      <c r="AO153" s="423">
        <f t="shared" si="33"/>
        <v>0</v>
      </c>
    </row>
    <row r="154" spans="1:41">
      <c r="A154" s="391" t="s">
        <v>551</v>
      </c>
      <c r="B154" s="408">
        <v>35550</v>
      </c>
      <c r="C154" s="391" t="s">
        <v>840</v>
      </c>
      <c r="D154" s="391" t="s">
        <v>841</v>
      </c>
      <c r="E154" s="391" t="s">
        <v>539</v>
      </c>
      <c r="F154" s="391" t="s">
        <v>540</v>
      </c>
      <c r="G154" s="391">
        <v>30</v>
      </c>
      <c r="H154" s="392">
        <v>2017226.62</v>
      </c>
      <c r="I154" s="392">
        <v>1277577.5499999998</v>
      </c>
      <c r="J154" s="392">
        <v>67240.89</v>
      </c>
      <c r="K154" s="391" t="s">
        <v>516</v>
      </c>
      <c r="L154" s="391" t="s">
        <v>516</v>
      </c>
      <c r="M154" s="391" t="s">
        <v>842</v>
      </c>
      <c r="O154" s="392">
        <f>$H154*AG154</f>
        <v>0</v>
      </c>
      <c r="P154" s="392">
        <f t="shared" ref="P154:S154" si="41">$H154*AH154</f>
        <v>605167.98600000003</v>
      </c>
      <c r="Q154" s="392">
        <f t="shared" si="41"/>
        <v>1412058.6340000001</v>
      </c>
      <c r="R154" s="392">
        <f t="shared" si="41"/>
        <v>0</v>
      </c>
      <c r="S154" s="392">
        <f t="shared" si="41"/>
        <v>0</v>
      </c>
      <c r="U154" s="392">
        <f t="shared" si="39"/>
        <v>0</v>
      </c>
      <c r="V154" s="392">
        <f t="shared" si="39"/>
        <v>383273.26499999996</v>
      </c>
      <c r="W154" s="392">
        <f t="shared" si="39"/>
        <v>894304.2849999998</v>
      </c>
      <c r="X154" s="392">
        <f t="shared" si="39"/>
        <v>0</v>
      </c>
      <c r="Y154" s="392">
        <f t="shared" si="39"/>
        <v>0</v>
      </c>
      <c r="AA154" s="392">
        <f t="shared" si="40"/>
        <v>0</v>
      </c>
      <c r="AB154" s="392">
        <f t="shared" si="40"/>
        <v>20172.267</v>
      </c>
      <c r="AC154" s="392">
        <f t="shared" si="40"/>
        <v>47068.623</v>
      </c>
      <c r="AD154" s="392">
        <f t="shared" si="40"/>
        <v>0</v>
      </c>
      <c r="AE154" s="392">
        <f t="shared" si="40"/>
        <v>0</v>
      </c>
      <c r="AG154" s="410">
        <v>0</v>
      </c>
      <c r="AH154" s="410">
        <v>0.3</v>
      </c>
      <c r="AI154" s="410">
        <f>1-AH154</f>
        <v>0.7</v>
      </c>
      <c r="AJ154" s="410">
        <v>0</v>
      </c>
      <c r="AK154" s="410">
        <v>0</v>
      </c>
      <c r="AN154" s="391">
        <v>2017226.62</v>
      </c>
      <c r="AO154" s="423">
        <f t="shared" si="33"/>
        <v>0</v>
      </c>
    </row>
    <row r="155" spans="1:41">
      <c r="A155" s="391" t="s">
        <v>554</v>
      </c>
      <c r="B155" s="408">
        <v>35550</v>
      </c>
      <c r="C155" s="391" t="s">
        <v>843</v>
      </c>
      <c r="D155" s="391" t="s">
        <v>844</v>
      </c>
      <c r="E155" s="391" t="s">
        <v>539</v>
      </c>
      <c r="F155" s="391" t="s">
        <v>540</v>
      </c>
      <c r="G155" s="391">
        <v>30</v>
      </c>
      <c r="H155" s="392">
        <v>91791.21</v>
      </c>
      <c r="I155" s="392">
        <v>61175.26</v>
      </c>
      <c r="J155" s="392">
        <v>3059.71</v>
      </c>
      <c r="K155" s="391" t="s">
        <v>505</v>
      </c>
      <c r="L155" s="391" t="s">
        <v>505</v>
      </c>
      <c r="O155" s="392">
        <f t="shared" ref="O155:S164" si="42">IF(O$8=$K155,$H155,0)</f>
        <v>0</v>
      </c>
      <c r="P155" s="392">
        <f t="shared" si="42"/>
        <v>0</v>
      </c>
      <c r="Q155" s="392">
        <f t="shared" si="42"/>
        <v>91791.21</v>
      </c>
      <c r="R155" s="392">
        <f t="shared" si="42"/>
        <v>0</v>
      </c>
      <c r="S155" s="392">
        <f t="shared" si="42"/>
        <v>0</v>
      </c>
      <c r="U155" s="392">
        <f t="shared" si="39"/>
        <v>0</v>
      </c>
      <c r="V155" s="392">
        <f t="shared" si="39"/>
        <v>0</v>
      </c>
      <c r="W155" s="392">
        <f t="shared" si="39"/>
        <v>61175.26</v>
      </c>
      <c r="X155" s="392">
        <f t="shared" si="39"/>
        <v>0</v>
      </c>
      <c r="Y155" s="392">
        <f t="shared" si="39"/>
        <v>0</v>
      </c>
      <c r="AA155" s="392">
        <f t="shared" si="40"/>
        <v>0</v>
      </c>
      <c r="AB155" s="392">
        <f t="shared" si="40"/>
        <v>0</v>
      </c>
      <c r="AC155" s="392">
        <f t="shared" si="40"/>
        <v>3059.71</v>
      </c>
      <c r="AD155" s="392">
        <f t="shared" si="40"/>
        <v>0</v>
      </c>
      <c r="AE155" s="392">
        <f t="shared" si="40"/>
        <v>0</v>
      </c>
      <c r="AG155" s="409">
        <f t="shared" ref="AG155:AK170" si="43">IF($H155=0,0,O155/$H155)</f>
        <v>0</v>
      </c>
      <c r="AH155" s="409">
        <f t="shared" si="43"/>
        <v>0</v>
      </c>
      <c r="AI155" s="409">
        <f t="shared" si="43"/>
        <v>1</v>
      </c>
      <c r="AJ155" s="409">
        <f t="shared" si="43"/>
        <v>0</v>
      </c>
      <c r="AK155" s="409">
        <f t="shared" si="43"/>
        <v>0</v>
      </c>
      <c r="AN155" s="391">
        <v>91791.21</v>
      </c>
      <c r="AO155" s="423">
        <f t="shared" si="33"/>
        <v>0</v>
      </c>
    </row>
    <row r="156" spans="1:41">
      <c r="A156" s="391" t="s">
        <v>632</v>
      </c>
      <c r="B156" s="408">
        <v>35550</v>
      </c>
      <c r="C156" s="391" t="s">
        <v>845</v>
      </c>
      <c r="D156" s="391" t="s">
        <v>846</v>
      </c>
      <c r="E156" s="391" t="s">
        <v>539</v>
      </c>
      <c r="F156" s="391" t="s">
        <v>540</v>
      </c>
      <c r="G156" s="391">
        <v>5</v>
      </c>
      <c r="H156" s="392">
        <v>7349.25</v>
      </c>
      <c r="I156" s="392">
        <v>7349.25</v>
      </c>
      <c r="J156" s="392">
        <v>0</v>
      </c>
      <c r="K156" s="391" t="s">
        <v>515</v>
      </c>
      <c r="L156" s="391" t="s">
        <v>515</v>
      </c>
      <c r="O156" s="392">
        <f t="shared" si="42"/>
        <v>0</v>
      </c>
      <c r="P156" s="392">
        <f t="shared" si="42"/>
        <v>0</v>
      </c>
      <c r="Q156" s="392">
        <f t="shared" si="42"/>
        <v>0</v>
      </c>
      <c r="R156" s="392">
        <f t="shared" si="42"/>
        <v>7349.25</v>
      </c>
      <c r="S156" s="392">
        <f t="shared" si="42"/>
        <v>0</v>
      </c>
      <c r="U156" s="392">
        <f t="shared" si="39"/>
        <v>0</v>
      </c>
      <c r="V156" s="392">
        <f t="shared" si="39"/>
        <v>0</v>
      </c>
      <c r="W156" s="392">
        <f t="shared" si="39"/>
        <v>0</v>
      </c>
      <c r="X156" s="392">
        <f t="shared" si="39"/>
        <v>7349.25</v>
      </c>
      <c r="Y156" s="392">
        <f t="shared" si="39"/>
        <v>0</v>
      </c>
      <c r="AA156" s="392">
        <f t="shared" si="40"/>
        <v>0</v>
      </c>
      <c r="AB156" s="392">
        <f t="shared" si="40"/>
        <v>0</v>
      </c>
      <c r="AC156" s="392">
        <f t="shared" si="40"/>
        <v>0</v>
      </c>
      <c r="AD156" s="392">
        <f t="shared" si="40"/>
        <v>0</v>
      </c>
      <c r="AE156" s="392">
        <f t="shared" si="40"/>
        <v>0</v>
      </c>
      <c r="AG156" s="409">
        <f t="shared" si="43"/>
        <v>0</v>
      </c>
      <c r="AH156" s="409">
        <f t="shared" si="43"/>
        <v>0</v>
      </c>
      <c r="AI156" s="409">
        <f t="shared" si="43"/>
        <v>0</v>
      </c>
      <c r="AJ156" s="409">
        <f t="shared" si="43"/>
        <v>1</v>
      </c>
      <c r="AK156" s="409">
        <f t="shared" si="43"/>
        <v>0</v>
      </c>
      <c r="AN156" s="391">
        <v>7349.25</v>
      </c>
      <c r="AO156" s="423">
        <f t="shared" si="33"/>
        <v>0</v>
      </c>
    </row>
    <row r="157" spans="1:41">
      <c r="A157" s="391" t="s">
        <v>632</v>
      </c>
      <c r="B157" s="408">
        <v>35573</v>
      </c>
      <c r="C157" s="391" t="s">
        <v>847</v>
      </c>
      <c r="D157" s="391" t="s">
        <v>848</v>
      </c>
      <c r="E157" s="391" t="s">
        <v>539</v>
      </c>
      <c r="F157" s="391" t="s">
        <v>540</v>
      </c>
      <c r="G157" s="391">
        <v>5</v>
      </c>
      <c r="H157" s="392">
        <v>5718.65</v>
      </c>
      <c r="I157" s="392">
        <v>5718.65</v>
      </c>
      <c r="J157" s="392">
        <v>0</v>
      </c>
      <c r="K157" s="391" t="s">
        <v>515</v>
      </c>
      <c r="L157" s="391" t="s">
        <v>515</v>
      </c>
      <c r="O157" s="392">
        <f t="shared" si="42"/>
        <v>0</v>
      </c>
      <c r="P157" s="392">
        <f t="shared" si="42"/>
        <v>0</v>
      </c>
      <c r="Q157" s="392">
        <f t="shared" si="42"/>
        <v>0</v>
      </c>
      <c r="R157" s="392">
        <f t="shared" si="42"/>
        <v>5718.65</v>
      </c>
      <c r="S157" s="392">
        <f t="shared" si="42"/>
        <v>0</v>
      </c>
      <c r="U157" s="392">
        <f t="shared" si="39"/>
        <v>0</v>
      </c>
      <c r="V157" s="392">
        <f t="shared" si="39"/>
        <v>0</v>
      </c>
      <c r="W157" s="392">
        <f t="shared" si="39"/>
        <v>0</v>
      </c>
      <c r="X157" s="392">
        <f t="shared" si="39"/>
        <v>5718.65</v>
      </c>
      <c r="Y157" s="392">
        <f t="shared" si="39"/>
        <v>0</v>
      </c>
      <c r="AA157" s="392">
        <f t="shared" si="40"/>
        <v>0</v>
      </c>
      <c r="AB157" s="392">
        <f t="shared" si="40"/>
        <v>0</v>
      </c>
      <c r="AC157" s="392">
        <f t="shared" si="40"/>
        <v>0</v>
      </c>
      <c r="AD157" s="392">
        <f t="shared" si="40"/>
        <v>0</v>
      </c>
      <c r="AE157" s="392">
        <f t="shared" si="40"/>
        <v>0</v>
      </c>
      <c r="AG157" s="409">
        <f t="shared" si="43"/>
        <v>0</v>
      </c>
      <c r="AH157" s="409">
        <f t="shared" si="43"/>
        <v>0</v>
      </c>
      <c r="AI157" s="409">
        <f t="shared" si="43"/>
        <v>0</v>
      </c>
      <c r="AJ157" s="409">
        <f t="shared" si="43"/>
        <v>1</v>
      </c>
      <c r="AK157" s="409">
        <f t="shared" si="43"/>
        <v>0</v>
      </c>
      <c r="AN157" s="391">
        <v>5718.65</v>
      </c>
      <c r="AO157" s="423">
        <f t="shared" si="33"/>
        <v>0</v>
      </c>
    </row>
    <row r="158" spans="1:41">
      <c r="A158" s="391" t="s">
        <v>632</v>
      </c>
      <c r="B158" s="408">
        <v>35587</v>
      </c>
      <c r="C158" s="391" t="s">
        <v>849</v>
      </c>
      <c r="D158" s="391" t="s">
        <v>850</v>
      </c>
      <c r="E158" s="391" t="s">
        <v>539</v>
      </c>
      <c r="F158" s="391" t="s">
        <v>540</v>
      </c>
      <c r="G158" s="391">
        <v>5</v>
      </c>
      <c r="H158" s="392">
        <v>6928</v>
      </c>
      <c r="I158" s="392">
        <v>6928</v>
      </c>
      <c r="J158" s="392">
        <v>0</v>
      </c>
      <c r="K158" s="391" t="s">
        <v>515</v>
      </c>
      <c r="L158" s="391" t="s">
        <v>515</v>
      </c>
      <c r="O158" s="392">
        <f t="shared" si="42"/>
        <v>0</v>
      </c>
      <c r="P158" s="392">
        <f t="shared" si="42"/>
        <v>0</v>
      </c>
      <c r="Q158" s="392">
        <f t="shared" si="42"/>
        <v>0</v>
      </c>
      <c r="R158" s="392">
        <f t="shared" si="42"/>
        <v>6928</v>
      </c>
      <c r="S158" s="392">
        <f t="shared" si="42"/>
        <v>0</v>
      </c>
      <c r="U158" s="392">
        <f t="shared" si="39"/>
        <v>0</v>
      </c>
      <c r="V158" s="392">
        <f t="shared" si="39"/>
        <v>0</v>
      </c>
      <c r="W158" s="392">
        <f t="shared" si="39"/>
        <v>0</v>
      </c>
      <c r="X158" s="392">
        <f t="shared" si="39"/>
        <v>6928</v>
      </c>
      <c r="Y158" s="392">
        <f t="shared" si="39"/>
        <v>0</v>
      </c>
      <c r="AA158" s="392">
        <f t="shared" si="40"/>
        <v>0</v>
      </c>
      <c r="AB158" s="392">
        <f t="shared" si="40"/>
        <v>0</v>
      </c>
      <c r="AC158" s="392">
        <f t="shared" si="40"/>
        <v>0</v>
      </c>
      <c r="AD158" s="392">
        <f t="shared" si="40"/>
        <v>0</v>
      </c>
      <c r="AE158" s="392">
        <f t="shared" si="40"/>
        <v>0</v>
      </c>
      <c r="AG158" s="409">
        <f t="shared" si="43"/>
        <v>0</v>
      </c>
      <c r="AH158" s="409">
        <f t="shared" si="43"/>
        <v>0</v>
      </c>
      <c r="AI158" s="409">
        <f t="shared" si="43"/>
        <v>0</v>
      </c>
      <c r="AJ158" s="409">
        <f t="shared" si="43"/>
        <v>1</v>
      </c>
      <c r="AK158" s="409">
        <f t="shared" si="43"/>
        <v>0</v>
      </c>
      <c r="AN158" s="391">
        <v>6928</v>
      </c>
      <c r="AO158" s="423">
        <f t="shared" si="33"/>
        <v>0</v>
      </c>
    </row>
    <row r="159" spans="1:41">
      <c r="A159" s="391" t="s">
        <v>632</v>
      </c>
      <c r="B159" s="408">
        <v>35699</v>
      </c>
      <c r="C159" s="391" t="s">
        <v>851</v>
      </c>
      <c r="D159" s="391" t="s">
        <v>852</v>
      </c>
      <c r="E159" s="391" t="s">
        <v>539</v>
      </c>
      <c r="F159" s="391" t="s">
        <v>540</v>
      </c>
      <c r="G159" s="391">
        <v>5</v>
      </c>
      <c r="H159" s="392">
        <v>1080</v>
      </c>
      <c r="I159" s="392">
        <v>1080</v>
      </c>
      <c r="J159" s="392">
        <v>0</v>
      </c>
      <c r="K159" s="391" t="s">
        <v>515</v>
      </c>
      <c r="L159" s="391" t="s">
        <v>515</v>
      </c>
      <c r="O159" s="392">
        <f t="shared" si="42"/>
        <v>0</v>
      </c>
      <c r="P159" s="392">
        <f t="shared" si="42"/>
        <v>0</v>
      </c>
      <c r="Q159" s="392">
        <f t="shared" si="42"/>
        <v>0</v>
      </c>
      <c r="R159" s="392">
        <f t="shared" si="42"/>
        <v>1080</v>
      </c>
      <c r="S159" s="392">
        <f t="shared" si="42"/>
        <v>0</v>
      </c>
      <c r="U159" s="392">
        <f t="shared" si="39"/>
        <v>0</v>
      </c>
      <c r="V159" s="392">
        <f t="shared" si="39"/>
        <v>0</v>
      </c>
      <c r="W159" s="392">
        <f t="shared" si="39"/>
        <v>0</v>
      </c>
      <c r="X159" s="392">
        <f t="shared" si="39"/>
        <v>1080</v>
      </c>
      <c r="Y159" s="392">
        <f t="shared" si="39"/>
        <v>0</v>
      </c>
      <c r="AA159" s="392">
        <f t="shared" si="40"/>
        <v>0</v>
      </c>
      <c r="AB159" s="392">
        <f t="shared" si="40"/>
        <v>0</v>
      </c>
      <c r="AC159" s="392">
        <f t="shared" si="40"/>
        <v>0</v>
      </c>
      <c r="AD159" s="392">
        <f t="shared" si="40"/>
        <v>0</v>
      </c>
      <c r="AE159" s="392">
        <f t="shared" si="40"/>
        <v>0</v>
      </c>
      <c r="AG159" s="409">
        <f t="shared" si="43"/>
        <v>0</v>
      </c>
      <c r="AH159" s="409">
        <f t="shared" si="43"/>
        <v>0</v>
      </c>
      <c r="AI159" s="409">
        <f t="shared" si="43"/>
        <v>0</v>
      </c>
      <c r="AJ159" s="409">
        <f t="shared" si="43"/>
        <v>1</v>
      </c>
      <c r="AK159" s="409">
        <f t="shared" si="43"/>
        <v>0</v>
      </c>
      <c r="AN159" s="391">
        <v>1080</v>
      </c>
      <c r="AO159" s="423">
        <f t="shared" si="33"/>
        <v>0</v>
      </c>
    </row>
    <row r="160" spans="1:41">
      <c r="A160" s="391" t="s">
        <v>567</v>
      </c>
      <c r="B160" s="408">
        <v>35703</v>
      </c>
      <c r="C160" s="391" t="s">
        <v>853</v>
      </c>
      <c r="D160" s="391" t="s">
        <v>854</v>
      </c>
      <c r="E160" s="391" t="s">
        <v>539</v>
      </c>
      <c r="F160" s="391" t="s">
        <v>540</v>
      </c>
      <c r="G160" s="391">
        <v>30</v>
      </c>
      <c r="H160" s="392">
        <v>9073.6299999999992</v>
      </c>
      <c r="I160" s="392">
        <v>5444.1399999999994</v>
      </c>
      <c r="J160" s="392">
        <v>302.45</v>
      </c>
      <c r="K160" s="391" t="s">
        <v>505</v>
      </c>
      <c r="L160" s="391" t="s">
        <v>505</v>
      </c>
      <c r="O160" s="392">
        <f t="shared" si="42"/>
        <v>0</v>
      </c>
      <c r="P160" s="392">
        <f t="shared" si="42"/>
        <v>0</v>
      </c>
      <c r="Q160" s="392">
        <f t="shared" si="42"/>
        <v>9073.6299999999992</v>
      </c>
      <c r="R160" s="392">
        <f t="shared" si="42"/>
        <v>0</v>
      </c>
      <c r="S160" s="392">
        <f t="shared" si="42"/>
        <v>0</v>
      </c>
      <c r="U160" s="392">
        <f t="shared" si="39"/>
        <v>0</v>
      </c>
      <c r="V160" s="392">
        <f t="shared" si="39"/>
        <v>0</v>
      </c>
      <c r="W160" s="392">
        <f t="shared" si="39"/>
        <v>5444.1399999999994</v>
      </c>
      <c r="X160" s="392">
        <f t="shared" si="39"/>
        <v>0</v>
      </c>
      <c r="Y160" s="392">
        <f t="shared" si="39"/>
        <v>0</v>
      </c>
      <c r="AA160" s="392">
        <f t="shared" si="40"/>
        <v>0</v>
      </c>
      <c r="AB160" s="392">
        <f t="shared" si="40"/>
        <v>0</v>
      </c>
      <c r="AC160" s="392">
        <f t="shared" si="40"/>
        <v>302.45</v>
      </c>
      <c r="AD160" s="392">
        <f t="shared" si="40"/>
        <v>0</v>
      </c>
      <c r="AE160" s="392">
        <f t="shared" si="40"/>
        <v>0</v>
      </c>
      <c r="AG160" s="409">
        <f t="shared" si="43"/>
        <v>0</v>
      </c>
      <c r="AH160" s="409">
        <f t="shared" si="43"/>
        <v>0</v>
      </c>
      <c r="AI160" s="409">
        <f t="shared" si="43"/>
        <v>1</v>
      </c>
      <c r="AJ160" s="409">
        <f t="shared" si="43"/>
        <v>0</v>
      </c>
      <c r="AK160" s="409">
        <f t="shared" si="43"/>
        <v>0</v>
      </c>
      <c r="AN160" s="391">
        <v>9073.6299999999992</v>
      </c>
      <c r="AO160" s="423">
        <f t="shared" si="33"/>
        <v>0</v>
      </c>
    </row>
    <row r="161" spans="1:41">
      <c r="A161" s="391" t="s">
        <v>632</v>
      </c>
      <c r="B161" s="408">
        <v>35727</v>
      </c>
      <c r="C161" s="391" t="s">
        <v>855</v>
      </c>
      <c r="D161" s="391" t="s">
        <v>856</v>
      </c>
      <c r="E161" s="391" t="s">
        <v>539</v>
      </c>
      <c r="F161" s="391" t="s">
        <v>540</v>
      </c>
      <c r="G161" s="391">
        <v>5</v>
      </c>
      <c r="H161" s="392">
        <v>601.77</v>
      </c>
      <c r="I161" s="392">
        <v>601.77</v>
      </c>
      <c r="J161" s="392">
        <v>0</v>
      </c>
      <c r="K161" s="391" t="s">
        <v>515</v>
      </c>
      <c r="L161" s="391" t="s">
        <v>515</v>
      </c>
      <c r="O161" s="392">
        <f t="shared" si="42"/>
        <v>0</v>
      </c>
      <c r="P161" s="392">
        <f t="shared" si="42"/>
        <v>0</v>
      </c>
      <c r="Q161" s="392">
        <f t="shared" si="42"/>
        <v>0</v>
      </c>
      <c r="R161" s="392">
        <f t="shared" si="42"/>
        <v>601.77</v>
      </c>
      <c r="S161" s="392">
        <f t="shared" si="42"/>
        <v>0</v>
      </c>
      <c r="U161" s="392">
        <f t="shared" si="39"/>
        <v>0</v>
      </c>
      <c r="V161" s="392">
        <f t="shared" si="39"/>
        <v>0</v>
      </c>
      <c r="W161" s="392">
        <f t="shared" si="39"/>
        <v>0</v>
      </c>
      <c r="X161" s="392">
        <f t="shared" si="39"/>
        <v>601.77</v>
      </c>
      <c r="Y161" s="392">
        <f t="shared" si="39"/>
        <v>0</v>
      </c>
      <c r="AA161" s="392">
        <f t="shared" si="40"/>
        <v>0</v>
      </c>
      <c r="AB161" s="392">
        <f t="shared" si="40"/>
        <v>0</v>
      </c>
      <c r="AC161" s="392">
        <f t="shared" si="40"/>
        <v>0</v>
      </c>
      <c r="AD161" s="392">
        <f t="shared" si="40"/>
        <v>0</v>
      </c>
      <c r="AE161" s="392">
        <f t="shared" si="40"/>
        <v>0</v>
      </c>
      <c r="AG161" s="409">
        <f t="shared" si="43"/>
        <v>0</v>
      </c>
      <c r="AH161" s="409">
        <f t="shared" si="43"/>
        <v>0</v>
      </c>
      <c r="AI161" s="409">
        <f t="shared" si="43"/>
        <v>0</v>
      </c>
      <c r="AJ161" s="409">
        <f t="shared" si="43"/>
        <v>1</v>
      </c>
      <c r="AK161" s="409">
        <f t="shared" si="43"/>
        <v>0</v>
      </c>
      <c r="AN161" s="391">
        <v>601.77</v>
      </c>
      <c r="AO161" s="423">
        <f t="shared" si="33"/>
        <v>0</v>
      </c>
    </row>
    <row r="162" spans="1:41">
      <c r="A162" s="391" t="s">
        <v>632</v>
      </c>
      <c r="B162" s="408">
        <v>35727</v>
      </c>
      <c r="C162" s="391" t="s">
        <v>855</v>
      </c>
      <c r="D162" s="391" t="s">
        <v>857</v>
      </c>
      <c r="E162" s="391" t="s">
        <v>539</v>
      </c>
      <c r="F162" s="391" t="s">
        <v>540</v>
      </c>
      <c r="G162" s="391">
        <v>5</v>
      </c>
      <c r="H162" s="392">
        <v>601.77</v>
      </c>
      <c r="I162" s="392">
        <v>601.77</v>
      </c>
      <c r="J162" s="392">
        <v>0</v>
      </c>
      <c r="K162" s="391" t="s">
        <v>515</v>
      </c>
      <c r="L162" s="391" t="s">
        <v>515</v>
      </c>
      <c r="O162" s="392">
        <f t="shared" si="42"/>
        <v>0</v>
      </c>
      <c r="P162" s="392">
        <f t="shared" si="42"/>
        <v>0</v>
      </c>
      <c r="Q162" s="392">
        <f t="shared" si="42"/>
        <v>0</v>
      </c>
      <c r="R162" s="392">
        <f t="shared" si="42"/>
        <v>601.77</v>
      </c>
      <c r="S162" s="392">
        <f t="shared" si="42"/>
        <v>0</v>
      </c>
      <c r="U162" s="392">
        <f t="shared" si="39"/>
        <v>0</v>
      </c>
      <c r="V162" s="392">
        <f t="shared" si="39"/>
        <v>0</v>
      </c>
      <c r="W162" s="392">
        <f t="shared" si="39"/>
        <v>0</v>
      </c>
      <c r="X162" s="392">
        <f t="shared" si="39"/>
        <v>601.77</v>
      </c>
      <c r="Y162" s="392">
        <f t="shared" si="39"/>
        <v>0</v>
      </c>
      <c r="AA162" s="392">
        <f t="shared" si="40"/>
        <v>0</v>
      </c>
      <c r="AB162" s="392">
        <f t="shared" si="40"/>
        <v>0</v>
      </c>
      <c r="AC162" s="392">
        <f t="shared" si="40"/>
        <v>0</v>
      </c>
      <c r="AD162" s="392">
        <f t="shared" si="40"/>
        <v>0</v>
      </c>
      <c r="AE162" s="392">
        <f t="shared" si="40"/>
        <v>0</v>
      </c>
      <c r="AG162" s="409">
        <f t="shared" si="43"/>
        <v>0</v>
      </c>
      <c r="AH162" s="409">
        <f t="shared" si="43"/>
        <v>0</v>
      </c>
      <c r="AI162" s="409">
        <f t="shared" si="43"/>
        <v>0</v>
      </c>
      <c r="AJ162" s="409">
        <f t="shared" si="43"/>
        <v>1</v>
      </c>
      <c r="AK162" s="409">
        <f t="shared" si="43"/>
        <v>0</v>
      </c>
      <c r="AN162" s="391">
        <v>601.77</v>
      </c>
      <c r="AO162" s="423">
        <f t="shared" si="33"/>
        <v>0</v>
      </c>
    </row>
    <row r="163" spans="1:41">
      <c r="A163" s="391" t="s">
        <v>567</v>
      </c>
      <c r="B163" s="408">
        <v>35734</v>
      </c>
      <c r="C163" s="391" t="s">
        <v>853</v>
      </c>
      <c r="D163" s="391" t="s">
        <v>858</v>
      </c>
      <c r="E163" s="391" t="s">
        <v>539</v>
      </c>
      <c r="F163" s="391" t="s">
        <v>540</v>
      </c>
      <c r="G163" s="391">
        <v>30</v>
      </c>
      <c r="H163" s="392">
        <v>5189.1400000000003</v>
      </c>
      <c r="I163" s="392">
        <v>3113.47</v>
      </c>
      <c r="J163" s="392">
        <v>172.97</v>
      </c>
      <c r="K163" s="391" t="s">
        <v>505</v>
      </c>
      <c r="L163" s="391" t="s">
        <v>505</v>
      </c>
      <c r="O163" s="392">
        <f t="shared" si="42"/>
        <v>0</v>
      </c>
      <c r="P163" s="392">
        <f t="shared" si="42"/>
        <v>0</v>
      </c>
      <c r="Q163" s="392">
        <f t="shared" si="42"/>
        <v>5189.1400000000003</v>
      </c>
      <c r="R163" s="392">
        <f t="shared" si="42"/>
        <v>0</v>
      </c>
      <c r="S163" s="392">
        <f t="shared" si="42"/>
        <v>0</v>
      </c>
      <c r="U163" s="392">
        <f t="shared" si="39"/>
        <v>0</v>
      </c>
      <c r="V163" s="392">
        <f t="shared" si="39"/>
        <v>0</v>
      </c>
      <c r="W163" s="392">
        <f t="shared" si="39"/>
        <v>3113.47</v>
      </c>
      <c r="X163" s="392">
        <f t="shared" si="39"/>
        <v>0</v>
      </c>
      <c r="Y163" s="392">
        <f t="shared" si="39"/>
        <v>0</v>
      </c>
      <c r="AA163" s="392">
        <f t="shared" si="40"/>
        <v>0</v>
      </c>
      <c r="AB163" s="392">
        <f t="shared" si="40"/>
        <v>0</v>
      </c>
      <c r="AC163" s="392">
        <f t="shared" si="40"/>
        <v>172.97</v>
      </c>
      <c r="AD163" s="392">
        <f t="shared" si="40"/>
        <v>0</v>
      </c>
      <c r="AE163" s="392">
        <f t="shared" si="40"/>
        <v>0</v>
      </c>
      <c r="AG163" s="409">
        <f t="shared" si="43"/>
        <v>0</v>
      </c>
      <c r="AH163" s="409">
        <f t="shared" si="43"/>
        <v>0</v>
      </c>
      <c r="AI163" s="409">
        <f t="shared" si="43"/>
        <v>1</v>
      </c>
      <c r="AJ163" s="409">
        <f t="shared" si="43"/>
        <v>0</v>
      </c>
      <c r="AK163" s="409">
        <f t="shared" si="43"/>
        <v>0</v>
      </c>
      <c r="AN163" s="391">
        <v>5189.1400000000003</v>
      </c>
      <c r="AO163" s="423">
        <f t="shared" si="33"/>
        <v>0</v>
      </c>
    </row>
    <row r="164" spans="1:41">
      <c r="A164" s="391" t="s">
        <v>554</v>
      </c>
      <c r="B164" s="408">
        <v>35734</v>
      </c>
      <c r="C164" s="391" t="s">
        <v>859</v>
      </c>
      <c r="D164" s="391" t="s">
        <v>860</v>
      </c>
      <c r="E164" s="391" t="s">
        <v>539</v>
      </c>
      <c r="F164" s="391" t="s">
        <v>540</v>
      </c>
      <c r="G164" s="391">
        <v>30</v>
      </c>
      <c r="H164" s="392">
        <v>44999.68</v>
      </c>
      <c r="I164" s="392">
        <v>26999.81</v>
      </c>
      <c r="J164" s="392">
        <v>1499.99</v>
      </c>
      <c r="K164" s="391" t="s">
        <v>505</v>
      </c>
      <c r="L164" s="391" t="s">
        <v>505</v>
      </c>
      <c r="O164" s="392">
        <f t="shared" si="42"/>
        <v>0</v>
      </c>
      <c r="P164" s="392">
        <f t="shared" si="42"/>
        <v>0</v>
      </c>
      <c r="Q164" s="392">
        <f t="shared" si="42"/>
        <v>44999.68</v>
      </c>
      <c r="R164" s="392">
        <f t="shared" si="42"/>
        <v>0</v>
      </c>
      <c r="S164" s="392">
        <f t="shared" si="42"/>
        <v>0</v>
      </c>
      <c r="U164" s="392">
        <f t="shared" si="39"/>
        <v>0</v>
      </c>
      <c r="V164" s="392">
        <f t="shared" si="39"/>
        <v>0</v>
      </c>
      <c r="W164" s="392">
        <f t="shared" si="39"/>
        <v>26999.81</v>
      </c>
      <c r="X164" s="392">
        <f t="shared" si="39"/>
        <v>0</v>
      </c>
      <c r="Y164" s="392">
        <f t="shared" si="39"/>
        <v>0</v>
      </c>
      <c r="AA164" s="392">
        <f t="shared" si="40"/>
        <v>0</v>
      </c>
      <c r="AB164" s="392">
        <f t="shared" si="40"/>
        <v>0</v>
      </c>
      <c r="AC164" s="392">
        <f t="shared" si="40"/>
        <v>1499.99</v>
      </c>
      <c r="AD164" s="392">
        <f t="shared" si="40"/>
        <v>0</v>
      </c>
      <c r="AE164" s="392">
        <f t="shared" si="40"/>
        <v>0</v>
      </c>
      <c r="AG164" s="409">
        <f t="shared" si="43"/>
        <v>0</v>
      </c>
      <c r="AH164" s="409">
        <f t="shared" si="43"/>
        <v>0</v>
      </c>
      <c r="AI164" s="409">
        <f t="shared" si="43"/>
        <v>1</v>
      </c>
      <c r="AJ164" s="409">
        <f t="shared" si="43"/>
        <v>0</v>
      </c>
      <c r="AK164" s="409">
        <f t="shared" si="43"/>
        <v>0</v>
      </c>
      <c r="AN164" s="391">
        <v>44999.68</v>
      </c>
      <c r="AO164" s="423">
        <f t="shared" si="33"/>
        <v>0</v>
      </c>
    </row>
    <row r="165" spans="1:41">
      <c r="A165" s="391" t="s">
        <v>632</v>
      </c>
      <c r="B165" s="408">
        <v>35839</v>
      </c>
      <c r="C165" s="391" t="s">
        <v>861</v>
      </c>
      <c r="D165" s="391" t="s">
        <v>862</v>
      </c>
      <c r="E165" s="391" t="s">
        <v>539</v>
      </c>
      <c r="F165" s="391" t="s">
        <v>540</v>
      </c>
      <c r="G165" s="391">
        <v>5</v>
      </c>
      <c r="H165" s="392">
        <v>2520.1</v>
      </c>
      <c r="I165" s="392">
        <v>2520.1</v>
      </c>
      <c r="J165" s="392">
        <v>0</v>
      </c>
      <c r="K165" s="391" t="s">
        <v>515</v>
      </c>
      <c r="L165" s="391" t="s">
        <v>515</v>
      </c>
      <c r="O165" s="392">
        <f t="shared" ref="O165:S170" si="44">IF(O$8=$K165,$H165,0)</f>
        <v>0</v>
      </c>
      <c r="P165" s="392">
        <f t="shared" si="44"/>
        <v>0</v>
      </c>
      <c r="Q165" s="392">
        <f t="shared" si="44"/>
        <v>0</v>
      </c>
      <c r="R165" s="392">
        <f t="shared" si="44"/>
        <v>2520.1</v>
      </c>
      <c r="S165" s="392">
        <f t="shared" si="44"/>
        <v>0</v>
      </c>
      <c r="U165" s="392">
        <f t="shared" si="39"/>
        <v>0</v>
      </c>
      <c r="V165" s="392">
        <f t="shared" si="39"/>
        <v>0</v>
      </c>
      <c r="W165" s="392">
        <f t="shared" si="39"/>
        <v>0</v>
      </c>
      <c r="X165" s="392">
        <f t="shared" si="39"/>
        <v>2520.1</v>
      </c>
      <c r="Y165" s="392">
        <f t="shared" si="39"/>
        <v>0</v>
      </c>
      <c r="AA165" s="392">
        <f t="shared" si="40"/>
        <v>0</v>
      </c>
      <c r="AB165" s="392">
        <f t="shared" si="40"/>
        <v>0</v>
      </c>
      <c r="AC165" s="392">
        <f t="shared" si="40"/>
        <v>0</v>
      </c>
      <c r="AD165" s="392">
        <f t="shared" si="40"/>
        <v>0</v>
      </c>
      <c r="AE165" s="392">
        <f t="shared" si="40"/>
        <v>0</v>
      </c>
      <c r="AG165" s="409">
        <f t="shared" si="43"/>
        <v>0</v>
      </c>
      <c r="AH165" s="409">
        <f t="shared" si="43"/>
        <v>0</v>
      </c>
      <c r="AI165" s="409">
        <f t="shared" si="43"/>
        <v>0</v>
      </c>
      <c r="AJ165" s="409">
        <f t="shared" si="43"/>
        <v>1</v>
      </c>
      <c r="AK165" s="409">
        <f t="shared" si="43"/>
        <v>0</v>
      </c>
      <c r="AN165" s="391">
        <v>2520.1</v>
      </c>
      <c r="AO165" s="423">
        <f t="shared" si="33"/>
        <v>0</v>
      </c>
    </row>
    <row r="166" spans="1:41">
      <c r="A166" s="391" t="s">
        <v>554</v>
      </c>
      <c r="B166" s="408">
        <v>35913</v>
      </c>
      <c r="C166" s="391" t="s">
        <v>863</v>
      </c>
      <c r="D166" s="391" t="s">
        <v>864</v>
      </c>
      <c r="E166" s="391" t="s">
        <v>539</v>
      </c>
      <c r="F166" s="391" t="s">
        <v>540</v>
      </c>
      <c r="G166" s="391">
        <v>30</v>
      </c>
      <c r="H166" s="392">
        <v>103177.81</v>
      </c>
      <c r="I166" s="392">
        <v>61906.68</v>
      </c>
      <c r="J166" s="392">
        <v>3439.26</v>
      </c>
      <c r="K166" s="391" t="s">
        <v>505</v>
      </c>
      <c r="L166" s="391" t="s">
        <v>505</v>
      </c>
      <c r="O166" s="392">
        <f t="shared" si="44"/>
        <v>0</v>
      </c>
      <c r="P166" s="392">
        <f t="shared" si="44"/>
        <v>0</v>
      </c>
      <c r="Q166" s="392">
        <f t="shared" si="44"/>
        <v>103177.81</v>
      </c>
      <c r="R166" s="392">
        <f t="shared" si="44"/>
        <v>0</v>
      </c>
      <c r="S166" s="392">
        <f t="shared" si="44"/>
        <v>0</v>
      </c>
      <c r="U166" s="392">
        <f t="shared" si="39"/>
        <v>0</v>
      </c>
      <c r="V166" s="392">
        <f t="shared" si="39"/>
        <v>0</v>
      </c>
      <c r="W166" s="392">
        <f t="shared" si="39"/>
        <v>61906.68</v>
      </c>
      <c r="X166" s="392">
        <f t="shared" si="39"/>
        <v>0</v>
      </c>
      <c r="Y166" s="392">
        <f t="shared" si="39"/>
        <v>0</v>
      </c>
      <c r="AA166" s="392">
        <f t="shared" si="40"/>
        <v>0</v>
      </c>
      <c r="AB166" s="392">
        <f t="shared" si="40"/>
        <v>0</v>
      </c>
      <c r="AC166" s="392">
        <f t="shared" si="40"/>
        <v>3439.26</v>
      </c>
      <c r="AD166" s="392">
        <f t="shared" si="40"/>
        <v>0</v>
      </c>
      <c r="AE166" s="392">
        <f t="shared" si="40"/>
        <v>0</v>
      </c>
      <c r="AG166" s="409">
        <f t="shared" si="43"/>
        <v>0</v>
      </c>
      <c r="AH166" s="409">
        <f t="shared" si="43"/>
        <v>0</v>
      </c>
      <c r="AI166" s="409">
        <f t="shared" si="43"/>
        <v>1</v>
      </c>
      <c r="AJ166" s="409">
        <f t="shared" si="43"/>
        <v>0</v>
      </c>
      <c r="AK166" s="409">
        <f t="shared" si="43"/>
        <v>0</v>
      </c>
      <c r="AN166" s="391">
        <v>103177.81</v>
      </c>
      <c r="AO166" s="423">
        <f t="shared" si="33"/>
        <v>0</v>
      </c>
    </row>
    <row r="167" spans="1:41">
      <c r="A167" s="391" t="s">
        <v>554</v>
      </c>
      <c r="B167" s="408">
        <v>35913</v>
      </c>
      <c r="C167" s="391" t="s">
        <v>865</v>
      </c>
      <c r="D167" s="391" t="s">
        <v>866</v>
      </c>
      <c r="E167" s="391" t="s">
        <v>539</v>
      </c>
      <c r="F167" s="391" t="s">
        <v>540</v>
      </c>
      <c r="G167" s="391">
        <v>30</v>
      </c>
      <c r="H167" s="392">
        <v>132980.89000000001</v>
      </c>
      <c r="I167" s="392">
        <v>79788.56</v>
      </c>
      <c r="J167" s="392">
        <v>4432.7</v>
      </c>
      <c r="K167" s="391" t="s">
        <v>505</v>
      </c>
      <c r="L167" s="391" t="s">
        <v>505</v>
      </c>
      <c r="O167" s="392">
        <f t="shared" si="44"/>
        <v>0</v>
      </c>
      <c r="P167" s="392">
        <f t="shared" si="44"/>
        <v>0</v>
      </c>
      <c r="Q167" s="392">
        <f t="shared" si="44"/>
        <v>132980.89000000001</v>
      </c>
      <c r="R167" s="392">
        <f t="shared" si="44"/>
        <v>0</v>
      </c>
      <c r="S167" s="392">
        <f t="shared" si="44"/>
        <v>0</v>
      </c>
      <c r="U167" s="392">
        <f t="shared" si="39"/>
        <v>0</v>
      </c>
      <c r="V167" s="392">
        <f t="shared" si="39"/>
        <v>0</v>
      </c>
      <c r="W167" s="392">
        <f t="shared" si="39"/>
        <v>79788.56</v>
      </c>
      <c r="X167" s="392">
        <f t="shared" si="39"/>
        <v>0</v>
      </c>
      <c r="Y167" s="392">
        <f t="shared" si="39"/>
        <v>0</v>
      </c>
      <c r="AA167" s="392">
        <f t="shared" si="40"/>
        <v>0</v>
      </c>
      <c r="AB167" s="392">
        <f t="shared" si="40"/>
        <v>0</v>
      </c>
      <c r="AC167" s="392">
        <f t="shared" si="40"/>
        <v>4432.7</v>
      </c>
      <c r="AD167" s="392">
        <f t="shared" si="40"/>
        <v>0</v>
      </c>
      <c r="AE167" s="392">
        <f t="shared" si="40"/>
        <v>0</v>
      </c>
      <c r="AG167" s="409">
        <f t="shared" si="43"/>
        <v>0</v>
      </c>
      <c r="AH167" s="409">
        <f t="shared" si="43"/>
        <v>0</v>
      </c>
      <c r="AI167" s="409">
        <f t="shared" si="43"/>
        <v>1</v>
      </c>
      <c r="AJ167" s="409">
        <f t="shared" si="43"/>
        <v>0</v>
      </c>
      <c r="AK167" s="409">
        <f t="shared" si="43"/>
        <v>0</v>
      </c>
      <c r="AN167" s="391">
        <v>132980.89000000001</v>
      </c>
      <c r="AO167" s="423">
        <f t="shared" si="33"/>
        <v>0</v>
      </c>
    </row>
    <row r="168" spans="1:41">
      <c r="A168" s="391" t="s">
        <v>567</v>
      </c>
      <c r="B168" s="408">
        <v>35915</v>
      </c>
      <c r="C168" s="391" t="s">
        <v>853</v>
      </c>
      <c r="D168" s="391" t="s">
        <v>867</v>
      </c>
      <c r="E168" s="391" t="s">
        <v>539</v>
      </c>
      <c r="F168" s="391" t="s">
        <v>540</v>
      </c>
      <c r="G168" s="391">
        <v>30</v>
      </c>
      <c r="H168" s="392">
        <v>33706.97</v>
      </c>
      <c r="I168" s="392">
        <v>19765.14</v>
      </c>
      <c r="J168" s="392">
        <v>1123.57</v>
      </c>
      <c r="K168" s="391" t="s">
        <v>505</v>
      </c>
      <c r="L168" s="391" t="s">
        <v>505</v>
      </c>
      <c r="O168" s="392">
        <f t="shared" si="44"/>
        <v>0</v>
      </c>
      <c r="P168" s="392">
        <f t="shared" si="44"/>
        <v>0</v>
      </c>
      <c r="Q168" s="392">
        <f t="shared" si="44"/>
        <v>33706.97</v>
      </c>
      <c r="R168" s="392">
        <f t="shared" si="44"/>
        <v>0</v>
      </c>
      <c r="S168" s="392">
        <f t="shared" si="44"/>
        <v>0</v>
      </c>
      <c r="U168" s="392">
        <f t="shared" si="39"/>
        <v>0</v>
      </c>
      <c r="V168" s="392">
        <f t="shared" si="39"/>
        <v>0</v>
      </c>
      <c r="W168" s="392">
        <f t="shared" si="39"/>
        <v>19765.14</v>
      </c>
      <c r="X168" s="392">
        <f t="shared" si="39"/>
        <v>0</v>
      </c>
      <c r="Y168" s="392">
        <f t="shared" si="39"/>
        <v>0</v>
      </c>
      <c r="AA168" s="392">
        <f t="shared" si="40"/>
        <v>0</v>
      </c>
      <c r="AB168" s="392">
        <f t="shared" si="40"/>
        <v>0</v>
      </c>
      <c r="AC168" s="392">
        <f t="shared" si="40"/>
        <v>1123.57</v>
      </c>
      <c r="AD168" s="392">
        <f t="shared" si="40"/>
        <v>0</v>
      </c>
      <c r="AE168" s="392">
        <f t="shared" si="40"/>
        <v>0</v>
      </c>
      <c r="AG168" s="409">
        <f t="shared" si="43"/>
        <v>0</v>
      </c>
      <c r="AH168" s="409">
        <f t="shared" si="43"/>
        <v>0</v>
      </c>
      <c r="AI168" s="409">
        <f t="shared" si="43"/>
        <v>1</v>
      </c>
      <c r="AJ168" s="409">
        <f t="shared" si="43"/>
        <v>0</v>
      </c>
      <c r="AK168" s="409">
        <f t="shared" si="43"/>
        <v>0</v>
      </c>
      <c r="AN168" s="391">
        <v>33706.97</v>
      </c>
      <c r="AO168" s="423">
        <f t="shared" si="33"/>
        <v>0</v>
      </c>
    </row>
    <row r="169" spans="1:41">
      <c r="A169" s="391" t="s">
        <v>616</v>
      </c>
      <c r="B169" s="408">
        <v>35915</v>
      </c>
      <c r="C169" s="391" t="s">
        <v>868</v>
      </c>
      <c r="D169" s="391" t="s">
        <v>869</v>
      </c>
      <c r="E169" s="391" t="s">
        <v>539</v>
      </c>
      <c r="F169" s="391" t="s">
        <v>540</v>
      </c>
      <c r="G169" s="391">
        <v>25</v>
      </c>
      <c r="H169" s="392">
        <v>36293.86</v>
      </c>
      <c r="I169" s="392">
        <v>22731.55</v>
      </c>
      <c r="J169" s="392">
        <v>1451.75</v>
      </c>
      <c r="K169" s="391" t="s">
        <v>505</v>
      </c>
      <c r="L169" s="391" t="s">
        <v>505</v>
      </c>
      <c r="O169" s="392">
        <f t="shared" si="44"/>
        <v>0</v>
      </c>
      <c r="P169" s="392">
        <f t="shared" si="44"/>
        <v>0</v>
      </c>
      <c r="Q169" s="392">
        <f t="shared" si="44"/>
        <v>36293.86</v>
      </c>
      <c r="R169" s="392">
        <f t="shared" si="44"/>
        <v>0</v>
      </c>
      <c r="S169" s="392">
        <f t="shared" si="44"/>
        <v>0</v>
      </c>
      <c r="U169" s="392">
        <f t="shared" si="39"/>
        <v>0</v>
      </c>
      <c r="V169" s="392">
        <f t="shared" si="39"/>
        <v>0</v>
      </c>
      <c r="W169" s="392">
        <f t="shared" si="39"/>
        <v>22731.55</v>
      </c>
      <c r="X169" s="392">
        <f t="shared" si="39"/>
        <v>0</v>
      </c>
      <c r="Y169" s="392">
        <f t="shared" si="39"/>
        <v>0</v>
      </c>
      <c r="AA169" s="392">
        <f t="shared" si="40"/>
        <v>0</v>
      </c>
      <c r="AB169" s="392">
        <f t="shared" si="40"/>
        <v>0</v>
      </c>
      <c r="AC169" s="392">
        <f t="shared" si="40"/>
        <v>1451.75</v>
      </c>
      <c r="AD169" s="392">
        <f t="shared" si="40"/>
        <v>0</v>
      </c>
      <c r="AE169" s="392">
        <f t="shared" si="40"/>
        <v>0</v>
      </c>
      <c r="AG169" s="409">
        <f t="shared" si="43"/>
        <v>0</v>
      </c>
      <c r="AH169" s="409">
        <f t="shared" si="43"/>
        <v>0</v>
      </c>
      <c r="AI169" s="409">
        <f t="shared" si="43"/>
        <v>1</v>
      </c>
      <c r="AJ169" s="409">
        <f t="shared" si="43"/>
        <v>0</v>
      </c>
      <c r="AK169" s="409">
        <f t="shared" si="43"/>
        <v>0</v>
      </c>
      <c r="AN169" s="391">
        <v>36293.86</v>
      </c>
      <c r="AO169" s="423">
        <f t="shared" si="33"/>
        <v>0</v>
      </c>
    </row>
    <row r="170" spans="1:41">
      <c r="A170" s="391" t="s">
        <v>592</v>
      </c>
      <c r="B170" s="408">
        <v>35915</v>
      </c>
      <c r="C170" s="391" t="s">
        <v>870</v>
      </c>
      <c r="D170" s="391" t="s">
        <v>871</v>
      </c>
      <c r="E170" s="391" t="s">
        <v>539</v>
      </c>
      <c r="F170" s="391" t="s">
        <v>540</v>
      </c>
      <c r="G170" s="391">
        <v>30</v>
      </c>
      <c r="H170" s="392">
        <v>356594.7</v>
      </c>
      <c r="I170" s="392">
        <v>187356.81999999998</v>
      </c>
      <c r="J170" s="392">
        <v>11886.49</v>
      </c>
      <c r="K170" s="391" t="s">
        <v>505</v>
      </c>
      <c r="L170" s="391" t="s">
        <v>505</v>
      </c>
      <c r="O170" s="392">
        <f t="shared" si="44"/>
        <v>0</v>
      </c>
      <c r="P170" s="392">
        <f t="shared" si="44"/>
        <v>0</v>
      </c>
      <c r="Q170" s="392">
        <f t="shared" si="44"/>
        <v>356594.7</v>
      </c>
      <c r="R170" s="392">
        <f t="shared" si="44"/>
        <v>0</v>
      </c>
      <c r="S170" s="392">
        <f t="shared" si="44"/>
        <v>0</v>
      </c>
      <c r="U170" s="392">
        <f t="shared" si="39"/>
        <v>0</v>
      </c>
      <c r="V170" s="392">
        <f t="shared" si="39"/>
        <v>0</v>
      </c>
      <c r="W170" s="392">
        <f t="shared" si="39"/>
        <v>187356.81999999998</v>
      </c>
      <c r="X170" s="392">
        <f t="shared" si="39"/>
        <v>0</v>
      </c>
      <c r="Y170" s="392">
        <f t="shared" si="39"/>
        <v>0</v>
      </c>
      <c r="AA170" s="392">
        <f t="shared" si="40"/>
        <v>0</v>
      </c>
      <c r="AB170" s="392">
        <f t="shared" si="40"/>
        <v>0</v>
      </c>
      <c r="AC170" s="392">
        <f t="shared" si="40"/>
        <v>11886.49</v>
      </c>
      <c r="AD170" s="392">
        <f t="shared" si="40"/>
        <v>0</v>
      </c>
      <c r="AE170" s="392">
        <f t="shared" si="40"/>
        <v>0</v>
      </c>
      <c r="AG170" s="409">
        <f t="shared" si="43"/>
        <v>0</v>
      </c>
      <c r="AH170" s="409">
        <f t="shared" si="43"/>
        <v>0</v>
      </c>
      <c r="AI170" s="409">
        <f t="shared" si="43"/>
        <v>1</v>
      </c>
      <c r="AJ170" s="409">
        <f t="shared" si="43"/>
        <v>0</v>
      </c>
      <c r="AK170" s="409">
        <f t="shared" si="43"/>
        <v>0</v>
      </c>
      <c r="AN170" s="391">
        <v>356594.7</v>
      </c>
      <c r="AO170" s="423">
        <f t="shared" si="33"/>
        <v>0</v>
      </c>
    </row>
    <row r="171" spans="1:41">
      <c r="A171" s="391" t="s">
        <v>551</v>
      </c>
      <c r="B171" s="408">
        <v>35915</v>
      </c>
      <c r="C171" s="391" t="s">
        <v>872</v>
      </c>
      <c r="D171" s="391" t="s">
        <v>873</v>
      </c>
      <c r="E171" s="391" t="s">
        <v>539</v>
      </c>
      <c r="F171" s="391" t="s">
        <v>540</v>
      </c>
      <c r="G171" s="391">
        <v>30</v>
      </c>
      <c r="H171" s="392">
        <v>7809.61</v>
      </c>
      <c r="I171" s="392">
        <v>4693.6499999999996</v>
      </c>
      <c r="J171" s="392">
        <v>260.32</v>
      </c>
      <c r="K171" s="391" t="s">
        <v>516</v>
      </c>
      <c r="L171" s="391" t="s">
        <v>516</v>
      </c>
      <c r="M171" s="391" t="s">
        <v>874</v>
      </c>
      <c r="O171" s="392">
        <f>$H171*AG171</f>
        <v>0</v>
      </c>
      <c r="P171" s="392">
        <f t="shared" ref="P171:S171" si="45">$H171*AH171</f>
        <v>2342.8829999999998</v>
      </c>
      <c r="Q171" s="392">
        <f t="shared" si="45"/>
        <v>5466.7269999999999</v>
      </c>
      <c r="R171" s="392">
        <f t="shared" si="45"/>
        <v>0</v>
      </c>
      <c r="S171" s="392">
        <f t="shared" si="45"/>
        <v>0</v>
      </c>
      <c r="U171" s="392">
        <f t="shared" si="39"/>
        <v>0</v>
      </c>
      <c r="V171" s="392">
        <f t="shared" si="39"/>
        <v>1408.0949999999998</v>
      </c>
      <c r="W171" s="392">
        <f t="shared" si="39"/>
        <v>3285.5549999999994</v>
      </c>
      <c r="X171" s="392">
        <f t="shared" si="39"/>
        <v>0</v>
      </c>
      <c r="Y171" s="392">
        <f t="shared" si="39"/>
        <v>0</v>
      </c>
      <c r="AA171" s="392">
        <f t="shared" si="40"/>
        <v>0</v>
      </c>
      <c r="AB171" s="392">
        <f t="shared" si="40"/>
        <v>78.095999999999989</v>
      </c>
      <c r="AC171" s="392">
        <f t="shared" si="40"/>
        <v>182.22399999999999</v>
      </c>
      <c r="AD171" s="392">
        <f t="shared" si="40"/>
        <v>0</v>
      </c>
      <c r="AE171" s="392">
        <f t="shared" si="40"/>
        <v>0</v>
      </c>
      <c r="AG171" s="410">
        <v>0</v>
      </c>
      <c r="AH171" s="410">
        <v>0.3</v>
      </c>
      <c r="AI171" s="410">
        <f>1-AH171</f>
        <v>0.7</v>
      </c>
      <c r="AJ171" s="410">
        <v>0</v>
      </c>
      <c r="AK171" s="410">
        <v>0</v>
      </c>
      <c r="AN171" s="391">
        <v>7809.61</v>
      </c>
      <c r="AO171" s="423">
        <f t="shared" si="33"/>
        <v>0</v>
      </c>
    </row>
    <row r="172" spans="1:41">
      <c r="A172" s="391" t="s">
        <v>682</v>
      </c>
      <c r="B172" s="408">
        <v>35915</v>
      </c>
      <c r="C172" s="391" t="s">
        <v>875</v>
      </c>
      <c r="D172" s="391" t="s">
        <v>876</v>
      </c>
      <c r="E172" s="391" t="s">
        <v>539</v>
      </c>
      <c r="F172" s="391" t="s">
        <v>540</v>
      </c>
      <c r="G172" s="391">
        <v>8</v>
      </c>
      <c r="H172" s="392">
        <v>1870</v>
      </c>
      <c r="I172" s="392">
        <v>1870</v>
      </c>
      <c r="J172" s="392">
        <v>0</v>
      </c>
      <c r="K172" s="391" t="s">
        <v>515</v>
      </c>
      <c r="L172" s="391" t="s">
        <v>515</v>
      </c>
      <c r="O172" s="392">
        <f t="shared" ref="O172:S180" si="46">IF(O$8=$K172,$H172,0)</f>
        <v>0</v>
      </c>
      <c r="P172" s="392">
        <f t="shared" si="46"/>
        <v>0</v>
      </c>
      <c r="Q172" s="392">
        <f t="shared" si="46"/>
        <v>0</v>
      </c>
      <c r="R172" s="392">
        <f t="shared" si="46"/>
        <v>1870</v>
      </c>
      <c r="S172" s="392">
        <f t="shared" si="46"/>
        <v>0</v>
      </c>
      <c r="U172" s="392">
        <f t="shared" si="39"/>
        <v>0</v>
      </c>
      <c r="V172" s="392">
        <f t="shared" si="39"/>
        <v>0</v>
      </c>
      <c r="W172" s="392">
        <f t="shared" si="39"/>
        <v>0</v>
      </c>
      <c r="X172" s="392">
        <f t="shared" si="39"/>
        <v>1870</v>
      </c>
      <c r="Y172" s="392">
        <f t="shared" si="39"/>
        <v>0</v>
      </c>
      <c r="AA172" s="392">
        <f t="shared" si="40"/>
        <v>0</v>
      </c>
      <c r="AB172" s="392">
        <f t="shared" si="40"/>
        <v>0</v>
      </c>
      <c r="AC172" s="392">
        <f t="shared" si="40"/>
        <v>0</v>
      </c>
      <c r="AD172" s="392">
        <f t="shared" si="40"/>
        <v>0</v>
      </c>
      <c r="AE172" s="392">
        <f t="shared" si="40"/>
        <v>0</v>
      </c>
      <c r="AG172" s="409">
        <f t="shared" ref="AG172:AK180" si="47">IF($H172=0,0,O172/$H172)</f>
        <v>0</v>
      </c>
      <c r="AH172" s="409">
        <f t="shared" si="47"/>
        <v>0</v>
      </c>
      <c r="AI172" s="409">
        <f t="shared" si="47"/>
        <v>0</v>
      </c>
      <c r="AJ172" s="409">
        <f t="shared" si="47"/>
        <v>1</v>
      </c>
      <c r="AK172" s="409">
        <f t="shared" si="47"/>
        <v>0</v>
      </c>
      <c r="AN172" s="391">
        <v>1870</v>
      </c>
      <c r="AO172" s="423">
        <f t="shared" si="33"/>
        <v>0</v>
      </c>
    </row>
    <row r="173" spans="1:41">
      <c r="A173" s="391" t="s">
        <v>585</v>
      </c>
      <c r="B173" s="408">
        <v>35978</v>
      </c>
      <c r="C173" s="391" t="s">
        <v>877</v>
      </c>
      <c r="D173" s="391" t="s">
        <v>878</v>
      </c>
      <c r="E173" s="391" t="s">
        <v>539</v>
      </c>
      <c r="F173" s="391" t="s">
        <v>540</v>
      </c>
      <c r="G173" s="391">
        <v>30</v>
      </c>
      <c r="H173" s="392">
        <v>10817</v>
      </c>
      <c r="I173" s="392">
        <v>6129.66</v>
      </c>
      <c r="J173" s="392">
        <v>360.57</v>
      </c>
      <c r="K173" s="391" t="s">
        <v>505</v>
      </c>
      <c r="L173" s="391" t="s">
        <v>505</v>
      </c>
      <c r="O173" s="392">
        <f t="shared" si="46"/>
        <v>0</v>
      </c>
      <c r="P173" s="392">
        <f t="shared" si="46"/>
        <v>0</v>
      </c>
      <c r="Q173" s="392">
        <f t="shared" si="46"/>
        <v>10817</v>
      </c>
      <c r="R173" s="392">
        <f t="shared" si="46"/>
        <v>0</v>
      </c>
      <c r="S173" s="392">
        <f t="shared" si="46"/>
        <v>0</v>
      </c>
      <c r="U173" s="392">
        <f t="shared" si="39"/>
        <v>0</v>
      </c>
      <c r="V173" s="392">
        <f t="shared" si="39"/>
        <v>0</v>
      </c>
      <c r="W173" s="392">
        <f t="shared" si="39"/>
        <v>6129.66</v>
      </c>
      <c r="X173" s="392">
        <f t="shared" si="39"/>
        <v>0</v>
      </c>
      <c r="Y173" s="392">
        <f t="shared" si="39"/>
        <v>0</v>
      </c>
      <c r="AA173" s="392">
        <f t="shared" si="40"/>
        <v>0</v>
      </c>
      <c r="AB173" s="392">
        <f t="shared" si="40"/>
        <v>0</v>
      </c>
      <c r="AC173" s="392">
        <f t="shared" si="40"/>
        <v>360.57</v>
      </c>
      <c r="AD173" s="392">
        <f t="shared" si="40"/>
        <v>0</v>
      </c>
      <c r="AE173" s="392">
        <f t="shared" si="40"/>
        <v>0</v>
      </c>
      <c r="AG173" s="409">
        <f t="shared" si="47"/>
        <v>0</v>
      </c>
      <c r="AH173" s="409">
        <f t="shared" si="47"/>
        <v>0</v>
      </c>
      <c r="AI173" s="409">
        <f t="shared" si="47"/>
        <v>1</v>
      </c>
      <c r="AJ173" s="409">
        <f t="shared" si="47"/>
        <v>0</v>
      </c>
      <c r="AK173" s="409">
        <f t="shared" si="47"/>
        <v>0</v>
      </c>
      <c r="AN173" s="391">
        <v>10817</v>
      </c>
      <c r="AO173" s="423">
        <f t="shared" si="33"/>
        <v>0</v>
      </c>
    </row>
    <row r="174" spans="1:41">
      <c r="A174" s="391" t="s">
        <v>585</v>
      </c>
      <c r="B174" s="408">
        <v>35978</v>
      </c>
      <c r="C174" s="391" t="s">
        <v>879</v>
      </c>
      <c r="D174" s="391" t="s">
        <v>880</v>
      </c>
      <c r="E174" s="391" t="s">
        <v>539</v>
      </c>
      <c r="F174" s="391" t="s">
        <v>540</v>
      </c>
      <c r="G174" s="391">
        <v>30</v>
      </c>
      <c r="H174" s="392">
        <v>10313</v>
      </c>
      <c r="I174" s="392">
        <v>5844.0599999999995</v>
      </c>
      <c r="J174" s="392">
        <v>343.77</v>
      </c>
      <c r="K174" s="391" t="s">
        <v>505</v>
      </c>
      <c r="L174" s="391" t="s">
        <v>505</v>
      </c>
      <c r="O174" s="392">
        <f t="shared" si="46"/>
        <v>0</v>
      </c>
      <c r="P174" s="392">
        <f t="shared" si="46"/>
        <v>0</v>
      </c>
      <c r="Q174" s="392">
        <f t="shared" si="46"/>
        <v>10313</v>
      </c>
      <c r="R174" s="392">
        <f t="shared" si="46"/>
        <v>0</v>
      </c>
      <c r="S174" s="392">
        <f t="shared" si="46"/>
        <v>0</v>
      </c>
      <c r="U174" s="392">
        <f t="shared" si="39"/>
        <v>0</v>
      </c>
      <c r="V174" s="392">
        <f t="shared" si="39"/>
        <v>0</v>
      </c>
      <c r="W174" s="392">
        <f t="shared" si="39"/>
        <v>5844.0599999999995</v>
      </c>
      <c r="X174" s="392">
        <f t="shared" si="39"/>
        <v>0</v>
      </c>
      <c r="Y174" s="392">
        <f t="shared" si="39"/>
        <v>0</v>
      </c>
      <c r="AA174" s="392">
        <f t="shared" si="40"/>
        <v>0</v>
      </c>
      <c r="AB174" s="392">
        <f t="shared" si="40"/>
        <v>0</v>
      </c>
      <c r="AC174" s="392">
        <f t="shared" si="40"/>
        <v>343.77</v>
      </c>
      <c r="AD174" s="392">
        <f t="shared" si="40"/>
        <v>0</v>
      </c>
      <c r="AE174" s="392">
        <f t="shared" si="40"/>
        <v>0</v>
      </c>
      <c r="AG174" s="409">
        <f t="shared" si="47"/>
        <v>0</v>
      </c>
      <c r="AH174" s="409">
        <f t="shared" si="47"/>
        <v>0</v>
      </c>
      <c r="AI174" s="409">
        <f t="shared" si="47"/>
        <v>1</v>
      </c>
      <c r="AJ174" s="409">
        <f t="shared" si="47"/>
        <v>0</v>
      </c>
      <c r="AK174" s="409">
        <f t="shared" si="47"/>
        <v>0</v>
      </c>
      <c r="AN174" s="391">
        <v>10313</v>
      </c>
      <c r="AO174" s="423">
        <f t="shared" si="33"/>
        <v>0</v>
      </c>
    </row>
    <row r="175" spans="1:41">
      <c r="A175" s="391" t="s">
        <v>632</v>
      </c>
      <c r="B175" s="408">
        <v>35993</v>
      </c>
      <c r="C175" s="391" t="s">
        <v>881</v>
      </c>
      <c r="D175" s="391" t="s">
        <v>882</v>
      </c>
      <c r="E175" s="391" t="s">
        <v>539</v>
      </c>
      <c r="F175" s="391" t="s">
        <v>540</v>
      </c>
      <c r="G175" s="391">
        <v>5</v>
      </c>
      <c r="H175" s="392">
        <v>3617.4</v>
      </c>
      <c r="I175" s="392">
        <v>3617.4</v>
      </c>
      <c r="J175" s="392">
        <v>0</v>
      </c>
      <c r="K175" s="391" t="s">
        <v>515</v>
      </c>
      <c r="L175" s="391" t="s">
        <v>515</v>
      </c>
      <c r="O175" s="392">
        <f t="shared" si="46"/>
        <v>0</v>
      </c>
      <c r="P175" s="392">
        <f t="shared" si="46"/>
        <v>0</v>
      </c>
      <c r="Q175" s="392">
        <f t="shared" si="46"/>
        <v>0</v>
      </c>
      <c r="R175" s="392">
        <f t="shared" si="46"/>
        <v>3617.4</v>
      </c>
      <c r="S175" s="392">
        <f t="shared" si="46"/>
        <v>0</v>
      </c>
      <c r="U175" s="392">
        <f t="shared" si="39"/>
        <v>0</v>
      </c>
      <c r="V175" s="392">
        <f t="shared" si="39"/>
        <v>0</v>
      </c>
      <c r="W175" s="392">
        <f t="shared" si="39"/>
        <v>0</v>
      </c>
      <c r="X175" s="392">
        <f t="shared" si="39"/>
        <v>3617.4</v>
      </c>
      <c r="Y175" s="392">
        <f t="shared" si="39"/>
        <v>0</v>
      </c>
      <c r="AA175" s="392">
        <f t="shared" si="40"/>
        <v>0</v>
      </c>
      <c r="AB175" s="392">
        <f t="shared" si="40"/>
        <v>0</v>
      </c>
      <c r="AC175" s="392">
        <f t="shared" si="40"/>
        <v>0</v>
      </c>
      <c r="AD175" s="392">
        <f t="shared" si="40"/>
        <v>0</v>
      </c>
      <c r="AE175" s="392">
        <f t="shared" si="40"/>
        <v>0</v>
      </c>
      <c r="AG175" s="409">
        <f t="shared" si="47"/>
        <v>0</v>
      </c>
      <c r="AH175" s="409">
        <f t="shared" si="47"/>
        <v>0</v>
      </c>
      <c r="AI175" s="409">
        <f t="shared" si="47"/>
        <v>0</v>
      </c>
      <c r="AJ175" s="409">
        <f t="shared" si="47"/>
        <v>1</v>
      </c>
      <c r="AK175" s="409">
        <f t="shared" si="47"/>
        <v>0</v>
      </c>
      <c r="AN175" s="391">
        <v>3617.4</v>
      </c>
      <c r="AO175" s="423">
        <f t="shared" si="33"/>
        <v>0</v>
      </c>
    </row>
    <row r="176" spans="1:41">
      <c r="A176" s="391" t="s">
        <v>632</v>
      </c>
      <c r="B176" s="408">
        <v>35993</v>
      </c>
      <c r="C176" s="391" t="s">
        <v>883</v>
      </c>
      <c r="D176" s="391" t="s">
        <v>884</v>
      </c>
      <c r="E176" s="391" t="s">
        <v>539</v>
      </c>
      <c r="F176" s="391" t="s">
        <v>540</v>
      </c>
      <c r="G176" s="391">
        <v>5</v>
      </c>
      <c r="H176" s="392">
        <v>1019.06</v>
      </c>
      <c r="I176" s="392">
        <v>1019.06</v>
      </c>
      <c r="J176" s="392">
        <v>0</v>
      </c>
      <c r="K176" s="391" t="s">
        <v>515</v>
      </c>
      <c r="L176" s="391" t="s">
        <v>515</v>
      </c>
      <c r="O176" s="392">
        <f t="shared" si="46"/>
        <v>0</v>
      </c>
      <c r="P176" s="392">
        <f t="shared" si="46"/>
        <v>0</v>
      </c>
      <c r="Q176" s="392">
        <f t="shared" si="46"/>
        <v>0</v>
      </c>
      <c r="R176" s="392">
        <f t="shared" si="46"/>
        <v>1019.06</v>
      </c>
      <c r="S176" s="392">
        <f t="shared" si="46"/>
        <v>0</v>
      </c>
      <c r="U176" s="392">
        <f t="shared" si="39"/>
        <v>0</v>
      </c>
      <c r="V176" s="392">
        <f t="shared" si="39"/>
        <v>0</v>
      </c>
      <c r="W176" s="392">
        <f t="shared" si="39"/>
        <v>0</v>
      </c>
      <c r="X176" s="392">
        <f t="shared" si="39"/>
        <v>1019.06</v>
      </c>
      <c r="Y176" s="392">
        <f t="shared" si="39"/>
        <v>0</v>
      </c>
      <c r="AA176" s="392">
        <f t="shared" si="40"/>
        <v>0</v>
      </c>
      <c r="AB176" s="392">
        <f t="shared" si="40"/>
        <v>0</v>
      </c>
      <c r="AC176" s="392">
        <f t="shared" si="40"/>
        <v>0</v>
      </c>
      <c r="AD176" s="392">
        <f t="shared" si="40"/>
        <v>0</v>
      </c>
      <c r="AE176" s="392">
        <f t="shared" si="40"/>
        <v>0</v>
      </c>
      <c r="AG176" s="409">
        <f t="shared" si="47"/>
        <v>0</v>
      </c>
      <c r="AH176" s="409">
        <f t="shared" si="47"/>
        <v>0</v>
      </c>
      <c r="AI176" s="409">
        <f t="shared" si="47"/>
        <v>0</v>
      </c>
      <c r="AJ176" s="409">
        <f t="shared" si="47"/>
        <v>1</v>
      </c>
      <c r="AK176" s="409">
        <f t="shared" si="47"/>
        <v>0</v>
      </c>
      <c r="AN176" s="391">
        <v>1019.06</v>
      </c>
      <c r="AO176" s="423">
        <f t="shared" si="33"/>
        <v>0</v>
      </c>
    </row>
    <row r="177" spans="1:41">
      <c r="A177" s="391" t="s">
        <v>632</v>
      </c>
      <c r="B177" s="408">
        <v>36007</v>
      </c>
      <c r="C177" s="391" t="s">
        <v>885</v>
      </c>
      <c r="D177" s="391" t="s">
        <v>886</v>
      </c>
      <c r="E177" s="391" t="s">
        <v>539</v>
      </c>
      <c r="F177" s="391" t="s">
        <v>540</v>
      </c>
      <c r="G177" s="391">
        <v>5</v>
      </c>
      <c r="H177" s="392">
        <v>1136.9100000000001</v>
      </c>
      <c r="I177" s="392">
        <v>1136.9100000000001</v>
      </c>
      <c r="J177" s="392">
        <v>0</v>
      </c>
      <c r="K177" s="391" t="s">
        <v>515</v>
      </c>
      <c r="L177" s="391" t="s">
        <v>515</v>
      </c>
      <c r="O177" s="392">
        <f t="shared" si="46"/>
        <v>0</v>
      </c>
      <c r="P177" s="392">
        <f t="shared" si="46"/>
        <v>0</v>
      </c>
      <c r="Q177" s="392">
        <f t="shared" si="46"/>
        <v>0</v>
      </c>
      <c r="R177" s="392">
        <f t="shared" si="46"/>
        <v>1136.9100000000001</v>
      </c>
      <c r="S177" s="392">
        <f t="shared" si="46"/>
        <v>0</v>
      </c>
      <c r="U177" s="392">
        <f t="shared" si="39"/>
        <v>0</v>
      </c>
      <c r="V177" s="392">
        <f t="shared" si="39"/>
        <v>0</v>
      </c>
      <c r="W177" s="392">
        <f t="shared" si="39"/>
        <v>0</v>
      </c>
      <c r="X177" s="392">
        <f t="shared" si="39"/>
        <v>1136.9100000000001</v>
      </c>
      <c r="Y177" s="392">
        <f t="shared" si="39"/>
        <v>0</v>
      </c>
      <c r="AA177" s="392">
        <f t="shared" si="40"/>
        <v>0</v>
      </c>
      <c r="AB177" s="392">
        <f t="shared" si="40"/>
        <v>0</v>
      </c>
      <c r="AC177" s="392">
        <f t="shared" si="40"/>
        <v>0</v>
      </c>
      <c r="AD177" s="392">
        <f t="shared" si="40"/>
        <v>0</v>
      </c>
      <c r="AE177" s="392">
        <f t="shared" si="40"/>
        <v>0</v>
      </c>
      <c r="AG177" s="409">
        <f t="shared" si="47"/>
        <v>0</v>
      </c>
      <c r="AH177" s="409">
        <f t="shared" si="47"/>
        <v>0</v>
      </c>
      <c r="AI177" s="409">
        <f t="shared" si="47"/>
        <v>0</v>
      </c>
      <c r="AJ177" s="409">
        <f t="shared" si="47"/>
        <v>1</v>
      </c>
      <c r="AK177" s="409">
        <f t="shared" si="47"/>
        <v>0</v>
      </c>
      <c r="AN177" s="391">
        <v>1136.9100000000001</v>
      </c>
      <c r="AO177" s="423">
        <f t="shared" si="33"/>
        <v>0</v>
      </c>
    </row>
    <row r="178" spans="1:41">
      <c r="A178" s="391" t="s">
        <v>632</v>
      </c>
      <c r="B178" s="408">
        <v>36007</v>
      </c>
      <c r="C178" s="391" t="s">
        <v>887</v>
      </c>
      <c r="D178" s="391" t="s">
        <v>888</v>
      </c>
      <c r="E178" s="391" t="s">
        <v>539</v>
      </c>
      <c r="F178" s="391" t="s">
        <v>540</v>
      </c>
      <c r="G178" s="391">
        <v>5</v>
      </c>
      <c r="H178" s="392">
        <v>4254</v>
      </c>
      <c r="I178" s="392">
        <v>4254</v>
      </c>
      <c r="J178" s="392">
        <v>0</v>
      </c>
      <c r="K178" s="391" t="s">
        <v>515</v>
      </c>
      <c r="L178" s="391" t="s">
        <v>515</v>
      </c>
      <c r="O178" s="392">
        <f t="shared" si="46"/>
        <v>0</v>
      </c>
      <c r="P178" s="392">
        <f t="shared" si="46"/>
        <v>0</v>
      </c>
      <c r="Q178" s="392">
        <f t="shared" si="46"/>
        <v>0</v>
      </c>
      <c r="R178" s="392">
        <f t="shared" si="46"/>
        <v>4254</v>
      </c>
      <c r="S178" s="392">
        <f t="shared" si="46"/>
        <v>0</v>
      </c>
      <c r="U178" s="392">
        <f t="shared" si="39"/>
        <v>0</v>
      </c>
      <c r="V178" s="392">
        <f t="shared" si="39"/>
        <v>0</v>
      </c>
      <c r="W178" s="392">
        <f t="shared" si="39"/>
        <v>0</v>
      </c>
      <c r="X178" s="392">
        <f t="shared" si="39"/>
        <v>4254</v>
      </c>
      <c r="Y178" s="392">
        <f t="shared" si="39"/>
        <v>0</v>
      </c>
      <c r="AA178" s="392">
        <f t="shared" si="40"/>
        <v>0</v>
      </c>
      <c r="AB178" s="392">
        <f t="shared" si="40"/>
        <v>0</v>
      </c>
      <c r="AC178" s="392">
        <f t="shared" si="40"/>
        <v>0</v>
      </c>
      <c r="AD178" s="392">
        <f t="shared" si="40"/>
        <v>0</v>
      </c>
      <c r="AE178" s="392">
        <f t="shared" si="40"/>
        <v>0</v>
      </c>
      <c r="AG178" s="409">
        <f t="shared" si="47"/>
        <v>0</v>
      </c>
      <c r="AH178" s="409">
        <f t="shared" si="47"/>
        <v>0</v>
      </c>
      <c r="AI178" s="409">
        <f t="shared" si="47"/>
        <v>0</v>
      </c>
      <c r="AJ178" s="409">
        <f t="shared" si="47"/>
        <v>1</v>
      </c>
      <c r="AK178" s="409">
        <f t="shared" si="47"/>
        <v>0</v>
      </c>
      <c r="AN178" s="391">
        <v>4254</v>
      </c>
      <c r="AO178" s="423">
        <f t="shared" si="33"/>
        <v>0</v>
      </c>
    </row>
    <row r="179" spans="1:41">
      <c r="A179" s="391" t="s">
        <v>632</v>
      </c>
      <c r="B179" s="408">
        <v>36007</v>
      </c>
      <c r="C179" s="391" t="s">
        <v>889</v>
      </c>
      <c r="D179" s="391" t="s">
        <v>890</v>
      </c>
      <c r="E179" s="391" t="s">
        <v>539</v>
      </c>
      <c r="F179" s="391" t="s">
        <v>540</v>
      </c>
      <c r="G179" s="391">
        <v>5</v>
      </c>
      <c r="H179" s="392">
        <v>52184</v>
      </c>
      <c r="I179" s="392">
        <v>52184</v>
      </c>
      <c r="J179" s="392">
        <v>0</v>
      </c>
      <c r="K179" s="391" t="s">
        <v>515</v>
      </c>
      <c r="L179" s="391" t="s">
        <v>515</v>
      </c>
      <c r="O179" s="392">
        <f t="shared" si="46"/>
        <v>0</v>
      </c>
      <c r="P179" s="392">
        <f t="shared" si="46"/>
        <v>0</v>
      </c>
      <c r="Q179" s="392">
        <f t="shared" si="46"/>
        <v>0</v>
      </c>
      <c r="R179" s="392">
        <f t="shared" si="46"/>
        <v>52184</v>
      </c>
      <c r="S179" s="392">
        <f t="shared" si="46"/>
        <v>0</v>
      </c>
      <c r="U179" s="392">
        <f t="shared" si="39"/>
        <v>0</v>
      </c>
      <c r="V179" s="392">
        <f t="shared" si="39"/>
        <v>0</v>
      </c>
      <c r="W179" s="392">
        <f t="shared" si="39"/>
        <v>0</v>
      </c>
      <c r="X179" s="392">
        <f t="shared" si="39"/>
        <v>52184</v>
      </c>
      <c r="Y179" s="392">
        <f t="shared" si="39"/>
        <v>0</v>
      </c>
      <c r="AA179" s="392">
        <f t="shared" si="40"/>
        <v>0</v>
      </c>
      <c r="AB179" s="392">
        <f t="shared" si="40"/>
        <v>0</v>
      </c>
      <c r="AC179" s="392">
        <f t="shared" si="40"/>
        <v>0</v>
      </c>
      <c r="AD179" s="392">
        <f t="shared" si="40"/>
        <v>0</v>
      </c>
      <c r="AE179" s="392">
        <f t="shared" si="40"/>
        <v>0</v>
      </c>
      <c r="AG179" s="409">
        <f t="shared" si="47"/>
        <v>0</v>
      </c>
      <c r="AH179" s="409">
        <f t="shared" si="47"/>
        <v>0</v>
      </c>
      <c r="AI179" s="409">
        <f t="shared" si="47"/>
        <v>0</v>
      </c>
      <c r="AJ179" s="409">
        <f t="shared" si="47"/>
        <v>1</v>
      </c>
      <c r="AK179" s="409">
        <f t="shared" si="47"/>
        <v>0</v>
      </c>
      <c r="AN179" s="391">
        <v>52184</v>
      </c>
      <c r="AO179" s="423">
        <f t="shared" si="33"/>
        <v>0</v>
      </c>
    </row>
    <row r="180" spans="1:41">
      <c r="A180" s="391" t="s">
        <v>632</v>
      </c>
      <c r="B180" s="408">
        <v>36021</v>
      </c>
      <c r="C180" s="391" t="s">
        <v>891</v>
      </c>
      <c r="D180" s="391" t="s">
        <v>892</v>
      </c>
      <c r="E180" s="391" t="s">
        <v>539</v>
      </c>
      <c r="F180" s="391" t="s">
        <v>540</v>
      </c>
      <c r="G180" s="391">
        <v>5</v>
      </c>
      <c r="H180" s="392">
        <v>2419</v>
      </c>
      <c r="I180" s="392">
        <v>2419</v>
      </c>
      <c r="J180" s="392">
        <v>0</v>
      </c>
      <c r="K180" s="391" t="s">
        <v>515</v>
      </c>
      <c r="L180" s="391" t="s">
        <v>515</v>
      </c>
      <c r="O180" s="392">
        <f t="shared" si="46"/>
        <v>0</v>
      </c>
      <c r="P180" s="392">
        <f t="shared" si="46"/>
        <v>0</v>
      </c>
      <c r="Q180" s="392">
        <f t="shared" si="46"/>
        <v>0</v>
      </c>
      <c r="R180" s="392">
        <f t="shared" si="46"/>
        <v>2419</v>
      </c>
      <c r="S180" s="392">
        <f t="shared" si="46"/>
        <v>0</v>
      </c>
      <c r="U180" s="392">
        <f t="shared" si="39"/>
        <v>0</v>
      </c>
      <c r="V180" s="392">
        <f t="shared" si="39"/>
        <v>0</v>
      </c>
      <c r="W180" s="392">
        <f t="shared" si="39"/>
        <v>0</v>
      </c>
      <c r="X180" s="392">
        <f t="shared" si="39"/>
        <v>2419</v>
      </c>
      <c r="Y180" s="392">
        <f t="shared" si="39"/>
        <v>0</v>
      </c>
      <c r="AA180" s="392">
        <f t="shared" si="40"/>
        <v>0</v>
      </c>
      <c r="AB180" s="392">
        <f t="shared" si="40"/>
        <v>0</v>
      </c>
      <c r="AC180" s="392">
        <f t="shared" si="40"/>
        <v>0</v>
      </c>
      <c r="AD180" s="392">
        <f t="shared" si="40"/>
        <v>0</v>
      </c>
      <c r="AE180" s="392">
        <f t="shared" si="40"/>
        <v>0</v>
      </c>
      <c r="AG180" s="409">
        <f t="shared" si="47"/>
        <v>0</v>
      </c>
      <c r="AH180" s="409">
        <f t="shared" si="47"/>
        <v>0</v>
      </c>
      <c r="AI180" s="409">
        <f t="shared" si="47"/>
        <v>0</v>
      </c>
      <c r="AJ180" s="409">
        <f t="shared" si="47"/>
        <v>1</v>
      </c>
      <c r="AK180" s="409">
        <f t="shared" si="47"/>
        <v>0</v>
      </c>
      <c r="AN180" s="391">
        <v>2419</v>
      </c>
      <c r="AO180" s="423">
        <f t="shared" si="33"/>
        <v>0</v>
      </c>
    </row>
    <row r="181" spans="1:41">
      <c r="A181" s="391" t="s">
        <v>585</v>
      </c>
      <c r="B181" s="408">
        <v>36115</v>
      </c>
      <c r="C181" s="391" t="s">
        <v>893</v>
      </c>
      <c r="D181" s="391" t="s">
        <v>894</v>
      </c>
      <c r="E181" s="391" t="s">
        <v>539</v>
      </c>
      <c r="F181" s="391" t="s">
        <v>540</v>
      </c>
      <c r="G181" s="391">
        <v>30</v>
      </c>
      <c r="H181" s="392">
        <v>163839.51999999999</v>
      </c>
      <c r="I181" s="392">
        <v>96075.75</v>
      </c>
      <c r="J181" s="392">
        <v>5461.32</v>
      </c>
      <c r="K181" s="391" t="s">
        <v>505</v>
      </c>
      <c r="L181" s="391" t="s">
        <v>778</v>
      </c>
      <c r="O181" s="392">
        <f t="shared" ref="O181:S182" si="48">$H181*AG181</f>
        <v>0</v>
      </c>
      <c r="P181" s="392">
        <f t="shared" si="48"/>
        <v>0</v>
      </c>
      <c r="Q181" s="392">
        <f t="shared" si="48"/>
        <v>163839.51999999999</v>
      </c>
      <c r="R181" s="392">
        <f t="shared" si="48"/>
        <v>0</v>
      </c>
      <c r="S181" s="392">
        <f t="shared" si="48"/>
        <v>0</v>
      </c>
      <c r="U181" s="392">
        <f t="shared" si="39"/>
        <v>0</v>
      </c>
      <c r="V181" s="392">
        <f t="shared" si="39"/>
        <v>0</v>
      </c>
      <c r="W181" s="392">
        <f t="shared" si="39"/>
        <v>96075.75</v>
      </c>
      <c r="X181" s="392">
        <f t="shared" si="39"/>
        <v>0</v>
      </c>
      <c r="Y181" s="392">
        <f t="shared" si="39"/>
        <v>0</v>
      </c>
      <c r="AA181" s="392">
        <f t="shared" si="40"/>
        <v>0</v>
      </c>
      <c r="AB181" s="392">
        <f t="shared" si="40"/>
        <v>0</v>
      </c>
      <c r="AC181" s="392">
        <f t="shared" si="40"/>
        <v>5461.32</v>
      </c>
      <c r="AD181" s="392">
        <f t="shared" si="40"/>
        <v>0</v>
      </c>
      <c r="AE181" s="392">
        <f t="shared" si="40"/>
        <v>0</v>
      </c>
      <c r="AG181" s="409">
        <v>0</v>
      </c>
      <c r="AH181" s="409">
        <v>0</v>
      </c>
      <c r="AI181" s="410">
        <v>1</v>
      </c>
      <c r="AJ181" s="409">
        <v>0</v>
      </c>
      <c r="AK181" s="409">
        <v>0</v>
      </c>
      <c r="AN181" s="391">
        <v>163839.51999999999</v>
      </c>
      <c r="AO181" s="423">
        <f t="shared" ref="AO181:AO239" si="49">H181-AN181</f>
        <v>0</v>
      </c>
    </row>
    <row r="182" spans="1:41">
      <c r="A182" s="391" t="s">
        <v>585</v>
      </c>
      <c r="B182" s="408">
        <v>36115</v>
      </c>
      <c r="C182" s="391" t="s">
        <v>893</v>
      </c>
      <c r="D182" s="391" t="s">
        <v>895</v>
      </c>
      <c r="E182" s="391" t="s">
        <v>539</v>
      </c>
      <c r="F182" s="391" t="s">
        <v>540</v>
      </c>
      <c r="G182" s="391">
        <v>30</v>
      </c>
      <c r="H182" s="392">
        <v>24977</v>
      </c>
      <c r="I182" s="392">
        <v>14153.66</v>
      </c>
      <c r="J182" s="392">
        <v>832.57</v>
      </c>
      <c r="K182" s="391" t="s">
        <v>505</v>
      </c>
      <c r="L182" s="391" t="s">
        <v>778</v>
      </c>
      <c r="O182" s="392">
        <f t="shared" si="48"/>
        <v>0</v>
      </c>
      <c r="P182" s="392">
        <f t="shared" si="48"/>
        <v>0</v>
      </c>
      <c r="Q182" s="392">
        <f t="shared" si="48"/>
        <v>24977</v>
      </c>
      <c r="R182" s="392">
        <f t="shared" si="48"/>
        <v>0</v>
      </c>
      <c r="S182" s="392">
        <f t="shared" si="48"/>
        <v>0</v>
      </c>
      <c r="U182" s="392">
        <f t="shared" si="39"/>
        <v>0</v>
      </c>
      <c r="V182" s="392">
        <f t="shared" si="39"/>
        <v>0</v>
      </c>
      <c r="W182" s="392">
        <f t="shared" si="39"/>
        <v>14153.66</v>
      </c>
      <c r="X182" s="392">
        <f t="shared" si="39"/>
        <v>0</v>
      </c>
      <c r="Y182" s="392">
        <f t="shared" si="39"/>
        <v>0</v>
      </c>
      <c r="AA182" s="392">
        <f t="shared" si="40"/>
        <v>0</v>
      </c>
      <c r="AB182" s="392">
        <f t="shared" si="40"/>
        <v>0</v>
      </c>
      <c r="AC182" s="392">
        <f t="shared" si="40"/>
        <v>832.57</v>
      </c>
      <c r="AD182" s="392">
        <f t="shared" si="40"/>
        <v>0</v>
      </c>
      <c r="AE182" s="392">
        <f t="shared" si="40"/>
        <v>0</v>
      </c>
      <c r="AG182" s="409">
        <v>0</v>
      </c>
      <c r="AH182" s="409">
        <v>0</v>
      </c>
      <c r="AI182" s="410">
        <v>1</v>
      </c>
      <c r="AJ182" s="409">
        <v>0</v>
      </c>
      <c r="AK182" s="409">
        <v>0</v>
      </c>
      <c r="AN182" s="391">
        <v>24977</v>
      </c>
      <c r="AO182" s="423">
        <f t="shared" si="49"/>
        <v>0</v>
      </c>
    </row>
    <row r="183" spans="1:41">
      <c r="A183" s="391" t="s">
        <v>632</v>
      </c>
      <c r="B183" s="408">
        <v>36245</v>
      </c>
      <c r="C183" s="391" t="s">
        <v>896</v>
      </c>
      <c r="D183" s="391" t="s">
        <v>897</v>
      </c>
      <c r="E183" s="391" t="s">
        <v>539</v>
      </c>
      <c r="F183" s="391" t="s">
        <v>540</v>
      </c>
      <c r="G183" s="391">
        <v>5</v>
      </c>
      <c r="H183" s="392">
        <v>1781.64</v>
      </c>
      <c r="I183" s="392">
        <v>1781.64</v>
      </c>
      <c r="J183" s="392">
        <v>0</v>
      </c>
      <c r="K183" s="391" t="s">
        <v>515</v>
      </c>
      <c r="L183" s="391" t="s">
        <v>515</v>
      </c>
      <c r="O183" s="392">
        <f t="shared" ref="O183:S193" si="50">IF(O$8=$K183,$H183,0)</f>
        <v>0</v>
      </c>
      <c r="P183" s="392">
        <f t="shared" si="50"/>
        <v>0</v>
      </c>
      <c r="Q183" s="392">
        <f t="shared" si="50"/>
        <v>0</v>
      </c>
      <c r="R183" s="392">
        <f t="shared" si="50"/>
        <v>1781.64</v>
      </c>
      <c r="S183" s="392">
        <f t="shared" si="50"/>
        <v>0</v>
      </c>
      <c r="U183" s="392">
        <f t="shared" si="39"/>
        <v>0</v>
      </c>
      <c r="V183" s="392">
        <f t="shared" si="39"/>
        <v>0</v>
      </c>
      <c r="W183" s="392">
        <f t="shared" si="39"/>
        <v>0</v>
      </c>
      <c r="X183" s="392">
        <f t="shared" si="39"/>
        <v>1781.64</v>
      </c>
      <c r="Y183" s="392">
        <f t="shared" si="39"/>
        <v>0</v>
      </c>
      <c r="AA183" s="392">
        <f t="shared" si="40"/>
        <v>0</v>
      </c>
      <c r="AB183" s="392">
        <f t="shared" si="40"/>
        <v>0</v>
      </c>
      <c r="AC183" s="392">
        <f t="shared" si="40"/>
        <v>0</v>
      </c>
      <c r="AD183" s="392">
        <f t="shared" si="40"/>
        <v>0</v>
      </c>
      <c r="AE183" s="392">
        <f t="shared" si="40"/>
        <v>0</v>
      </c>
      <c r="AG183" s="409">
        <f t="shared" ref="AG183:AK193" si="51">IF($H183=0,0,O183/$H183)</f>
        <v>0</v>
      </c>
      <c r="AH183" s="409">
        <f t="shared" si="51"/>
        <v>0</v>
      </c>
      <c r="AI183" s="409">
        <f t="shared" si="51"/>
        <v>0</v>
      </c>
      <c r="AJ183" s="409">
        <f t="shared" si="51"/>
        <v>1</v>
      </c>
      <c r="AK183" s="409">
        <f t="shared" si="51"/>
        <v>0</v>
      </c>
      <c r="AN183" s="391">
        <v>1781.64</v>
      </c>
      <c r="AO183" s="423">
        <f t="shared" si="49"/>
        <v>0</v>
      </c>
    </row>
    <row r="184" spans="1:41">
      <c r="A184" s="391" t="s">
        <v>682</v>
      </c>
      <c r="B184" s="408">
        <v>36259</v>
      </c>
      <c r="C184" s="391" t="s">
        <v>898</v>
      </c>
      <c r="D184" s="391" t="s">
        <v>899</v>
      </c>
      <c r="E184" s="391" t="s">
        <v>539</v>
      </c>
      <c r="F184" s="391" t="s">
        <v>540</v>
      </c>
      <c r="G184" s="391">
        <v>8</v>
      </c>
      <c r="H184" s="392">
        <v>997</v>
      </c>
      <c r="I184" s="392">
        <v>997</v>
      </c>
      <c r="J184" s="392">
        <v>0</v>
      </c>
      <c r="K184" s="391" t="s">
        <v>515</v>
      </c>
      <c r="L184" s="391" t="s">
        <v>515</v>
      </c>
      <c r="O184" s="392">
        <f t="shared" si="50"/>
        <v>0</v>
      </c>
      <c r="P184" s="392">
        <f t="shared" si="50"/>
        <v>0</v>
      </c>
      <c r="Q184" s="392">
        <f t="shared" si="50"/>
        <v>0</v>
      </c>
      <c r="R184" s="392">
        <f t="shared" si="50"/>
        <v>997</v>
      </c>
      <c r="S184" s="392">
        <f t="shared" si="50"/>
        <v>0</v>
      </c>
      <c r="U184" s="392">
        <f t="shared" si="39"/>
        <v>0</v>
      </c>
      <c r="V184" s="392">
        <f t="shared" si="39"/>
        <v>0</v>
      </c>
      <c r="W184" s="392">
        <f t="shared" si="39"/>
        <v>0</v>
      </c>
      <c r="X184" s="392">
        <f t="shared" si="39"/>
        <v>997</v>
      </c>
      <c r="Y184" s="392">
        <f t="shared" si="39"/>
        <v>0</v>
      </c>
      <c r="AA184" s="392">
        <f t="shared" si="40"/>
        <v>0</v>
      </c>
      <c r="AB184" s="392">
        <f t="shared" si="40"/>
        <v>0</v>
      </c>
      <c r="AC184" s="392">
        <f t="shared" si="40"/>
        <v>0</v>
      </c>
      <c r="AD184" s="392">
        <f t="shared" si="40"/>
        <v>0</v>
      </c>
      <c r="AE184" s="392">
        <f t="shared" si="40"/>
        <v>0</v>
      </c>
      <c r="AG184" s="409">
        <f t="shared" si="51"/>
        <v>0</v>
      </c>
      <c r="AH184" s="409">
        <f t="shared" si="51"/>
        <v>0</v>
      </c>
      <c r="AI184" s="409">
        <f t="shared" si="51"/>
        <v>0</v>
      </c>
      <c r="AJ184" s="409">
        <f t="shared" si="51"/>
        <v>1</v>
      </c>
      <c r="AK184" s="409">
        <f t="shared" si="51"/>
        <v>0</v>
      </c>
      <c r="AN184" s="391">
        <v>997</v>
      </c>
      <c r="AO184" s="423">
        <f t="shared" si="49"/>
        <v>0</v>
      </c>
    </row>
    <row r="185" spans="1:41">
      <c r="A185" s="391" t="s">
        <v>632</v>
      </c>
      <c r="B185" s="408">
        <v>36273</v>
      </c>
      <c r="C185" s="391" t="s">
        <v>900</v>
      </c>
      <c r="D185" s="391" t="s">
        <v>901</v>
      </c>
      <c r="E185" s="391" t="s">
        <v>539</v>
      </c>
      <c r="F185" s="391" t="s">
        <v>540</v>
      </c>
      <c r="G185" s="391">
        <v>5</v>
      </c>
      <c r="H185" s="392">
        <v>1668.01</v>
      </c>
      <c r="I185" s="392">
        <v>1668.01</v>
      </c>
      <c r="J185" s="392">
        <v>0</v>
      </c>
      <c r="K185" s="391" t="s">
        <v>515</v>
      </c>
      <c r="L185" s="391" t="s">
        <v>515</v>
      </c>
      <c r="O185" s="392">
        <f t="shared" si="50"/>
        <v>0</v>
      </c>
      <c r="P185" s="392">
        <f t="shared" si="50"/>
        <v>0</v>
      </c>
      <c r="Q185" s="392">
        <f t="shared" si="50"/>
        <v>0</v>
      </c>
      <c r="R185" s="392">
        <f t="shared" si="50"/>
        <v>1668.01</v>
      </c>
      <c r="S185" s="392">
        <f t="shared" si="50"/>
        <v>0</v>
      </c>
      <c r="U185" s="392">
        <f t="shared" si="39"/>
        <v>0</v>
      </c>
      <c r="V185" s="392">
        <f t="shared" si="39"/>
        <v>0</v>
      </c>
      <c r="W185" s="392">
        <f t="shared" si="39"/>
        <v>0</v>
      </c>
      <c r="X185" s="392">
        <f t="shared" si="39"/>
        <v>1668.01</v>
      </c>
      <c r="Y185" s="392">
        <f t="shared" si="39"/>
        <v>0</v>
      </c>
      <c r="AA185" s="392">
        <f t="shared" si="40"/>
        <v>0</v>
      </c>
      <c r="AB185" s="392">
        <f t="shared" si="40"/>
        <v>0</v>
      </c>
      <c r="AC185" s="392">
        <f t="shared" si="40"/>
        <v>0</v>
      </c>
      <c r="AD185" s="392">
        <f t="shared" si="40"/>
        <v>0</v>
      </c>
      <c r="AE185" s="392">
        <f t="shared" si="40"/>
        <v>0</v>
      </c>
      <c r="AG185" s="409">
        <f t="shared" si="51"/>
        <v>0</v>
      </c>
      <c r="AH185" s="409">
        <f t="shared" si="51"/>
        <v>0</v>
      </c>
      <c r="AI185" s="409">
        <f t="shared" si="51"/>
        <v>0</v>
      </c>
      <c r="AJ185" s="409">
        <f t="shared" si="51"/>
        <v>1</v>
      </c>
      <c r="AK185" s="409">
        <f t="shared" si="51"/>
        <v>0</v>
      </c>
      <c r="AN185" s="391">
        <v>1668.01</v>
      </c>
      <c r="AO185" s="423">
        <f t="shared" si="49"/>
        <v>0</v>
      </c>
    </row>
    <row r="186" spans="1:41">
      <c r="A186" s="391" t="s">
        <v>554</v>
      </c>
      <c r="B186" s="408">
        <v>36278</v>
      </c>
      <c r="C186" s="391" t="s">
        <v>902</v>
      </c>
      <c r="D186" s="391" t="s">
        <v>903</v>
      </c>
      <c r="E186" s="391" t="s">
        <v>539</v>
      </c>
      <c r="F186" s="391" t="s">
        <v>540</v>
      </c>
      <c r="G186" s="391">
        <v>30</v>
      </c>
      <c r="H186" s="392">
        <v>73356.039999999994</v>
      </c>
      <c r="I186" s="392">
        <v>41568.409999999996</v>
      </c>
      <c r="J186" s="392">
        <v>2445.1999999999998</v>
      </c>
      <c r="K186" s="391" t="s">
        <v>505</v>
      </c>
      <c r="L186" s="391" t="s">
        <v>505</v>
      </c>
      <c r="O186" s="392">
        <f t="shared" si="50"/>
        <v>0</v>
      </c>
      <c r="P186" s="392">
        <f t="shared" si="50"/>
        <v>0</v>
      </c>
      <c r="Q186" s="392">
        <f t="shared" si="50"/>
        <v>73356.039999999994</v>
      </c>
      <c r="R186" s="392">
        <f t="shared" si="50"/>
        <v>0</v>
      </c>
      <c r="S186" s="392">
        <f t="shared" si="50"/>
        <v>0</v>
      </c>
      <c r="U186" s="392">
        <f t="shared" si="39"/>
        <v>0</v>
      </c>
      <c r="V186" s="392">
        <f t="shared" si="39"/>
        <v>0</v>
      </c>
      <c r="W186" s="392">
        <f t="shared" si="39"/>
        <v>41568.409999999996</v>
      </c>
      <c r="X186" s="392">
        <f t="shared" si="39"/>
        <v>0</v>
      </c>
      <c r="Y186" s="392">
        <f t="shared" si="39"/>
        <v>0</v>
      </c>
      <c r="AA186" s="392">
        <f t="shared" si="40"/>
        <v>0</v>
      </c>
      <c r="AB186" s="392">
        <f t="shared" si="40"/>
        <v>0</v>
      </c>
      <c r="AC186" s="392">
        <f t="shared" si="40"/>
        <v>2445.1999999999998</v>
      </c>
      <c r="AD186" s="392">
        <f t="shared" si="40"/>
        <v>0</v>
      </c>
      <c r="AE186" s="392">
        <f t="shared" si="40"/>
        <v>0</v>
      </c>
      <c r="AG186" s="409">
        <f t="shared" si="51"/>
        <v>0</v>
      </c>
      <c r="AH186" s="409">
        <f t="shared" si="51"/>
        <v>0</v>
      </c>
      <c r="AI186" s="409">
        <f t="shared" si="51"/>
        <v>1</v>
      </c>
      <c r="AJ186" s="409">
        <f t="shared" si="51"/>
        <v>0</v>
      </c>
      <c r="AK186" s="409">
        <f t="shared" si="51"/>
        <v>0</v>
      </c>
      <c r="AN186" s="391">
        <v>73356.039999999994</v>
      </c>
      <c r="AO186" s="423">
        <f t="shared" si="49"/>
        <v>0</v>
      </c>
    </row>
    <row r="187" spans="1:41">
      <c r="A187" s="391" t="s">
        <v>616</v>
      </c>
      <c r="B187" s="408">
        <v>36280</v>
      </c>
      <c r="C187" s="391" t="s">
        <v>904</v>
      </c>
      <c r="D187" s="391" t="s">
        <v>905</v>
      </c>
      <c r="E187" s="391" t="s">
        <v>539</v>
      </c>
      <c r="F187" s="391" t="s">
        <v>540</v>
      </c>
      <c r="G187" s="391">
        <v>25</v>
      </c>
      <c r="H187" s="392">
        <v>43272.99</v>
      </c>
      <c r="I187" s="392">
        <v>26525.64</v>
      </c>
      <c r="J187" s="392">
        <v>1730.92</v>
      </c>
      <c r="K187" s="391" t="s">
        <v>505</v>
      </c>
      <c r="L187" s="391" t="s">
        <v>505</v>
      </c>
      <c r="O187" s="392">
        <f t="shared" si="50"/>
        <v>0</v>
      </c>
      <c r="P187" s="392">
        <f t="shared" si="50"/>
        <v>0</v>
      </c>
      <c r="Q187" s="392">
        <f t="shared" si="50"/>
        <v>43272.99</v>
      </c>
      <c r="R187" s="392">
        <f t="shared" si="50"/>
        <v>0</v>
      </c>
      <c r="S187" s="392">
        <f t="shared" si="50"/>
        <v>0</v>
      </c>
      <c r="U187" s="392">
        <f t="shared" si="39"/>
        <v>0</v>
      </c>
      <c r="V187" s="392">
        <f t="shared" si="39"/>
        <v>0</v>
      </c>
      <c r="W187" s="392">
        <f t="shared" si="39"/>
        <v>26525.64</v>
      </c>
      <c r="X187" s="392">
        <f t="shared" si="39"/>
        <v>0</v>
      </c>
      <c r="Y187" s="392">
        <f t="shared" si="39"/>
        <v>0</v>
      </c>
      <c r="AA187" s="392">
        <f t="shared" si="40"/>
        <v>0</v>
      </c>
      <c r="AB187" s="392">
        <f t="shared" si="40"/>
        <v>0</v>
      </c>
      <c r="AC187" s="392">
        <f t="shared" si="40"/>
        <v>1730.92</v>
      </c>
      <c r="AD187" s="392">
        <f t="shared" si="40"/>
        <v>0</v>
      </c>
      <c r="AE187" s="392">
        <f t="shared" si="40"/>
        <v>0</v>
      </c>
      <c r="AG187" s="409">
        <f t="shared" si="51"/>
        <v>0</v>
      </c>
      <c r="AH187" s="409">
        <f t="shared" si="51"/>
        <v>0</v>
      </c>
      <c r="AI187" s="409">
        <f t="shared" si="51"/>
        <v>1</v>
      </c>
      <c r="AJ187" s="409">
        <f t="shared" si="51"/>
        <v>0</v>
      </c>
      <c r="AK187" s="409">
        <f t="shared" si="51"/>
        <v>0</v>
      </c>
      <c r="AN187" s="391">
        <v>43272.99</v>
      </c>
      <c r="AO187" s="423">
        <f t="shared" si="49"/>
        <v>0</v>
      </c>
    </row>
    <row r="188" spans="1:41">
      <c r="A188" s="391" t="s">
        <v>592</v>
      </c>
      <c r="B188" s="408">
        <v>36280</v>
      </c>
      <c r="C188" s="391" t="s">
        <v>906</v>
      </c>
      <c r="D188" s="391" t="s">
        <v>907</v>
      </c>
      <c r="E188" s="391" t="s">
        <v>539</v>
      </c>
      <c r="F188" s="391" t="s">
        <v>540</v>
      </c>
      <c r="G188" s="391">
        <v>30</v>
      </c>
      <c r="H188" s="392">
        <v>319667.49</v>
      </c>
      <c r="I188" s="392">
        <v>163944.88999999998</v>
      </c>
      <c r="J188" s="392">
        <v>10655.58</v>
      </c>
      <c r="K188" s="391" t="s">
        <v>505</v>
      </c>
      <c r="L188" s="391" t="s">
        <v>505</v>
      </c>
      <c r="O188" s="392">
        <f t="shared" si="50"/>
        <v>0</v>
      </c>
      <c r="P188" s="392">
        <f t="shared" si="50"/>
        <v>0</v>
      </c>
      <c r="Q188" s="392">
        <f t="shared" si="50"/>
        <v>319667.49</v>
      </c>
      <c r="R188" s="392">
        <f t="shared" si="50"/>
        <v>0</v>
      </c>
      <c r="S188" s="392">
        <f t="shared" si="50"/>
        <v>0</v>
      </c>
      <c r="U188" s="392">
        <f t="shared" si="39"/>
        <v>0</v>
      </c>
      <c r="V188" s="392">
        <f t="shared" si="39"/>
        <v>0</v>
      </c>
      <c r="W188" s="392">
        <f t="shared" si="39"/>
        <v>163944.88999999998</v>
      </c>
      <c r="X188" s="392">
        <f t="shared" si="39"/>
        <v>0</v>
      </c>
      <c r="Y188" s="392">
        <f t="shared" si="39"/>
        <v>0</v>
      </c>
      <c r="AA188" s="392">
        <f t="shared" si="40"/>
        <v>0</v>
      </c>
      <c r="AB188" s="392">
        <f t="shared" si="40"/>
        <v>0</v>
      </c>
      <c r="AC188" s="392">
        <f t="shared" si="40"/>
        <v>10655.58</v>
      </c>
      <c r="AD188" s="392">
        <f t="shared" si="40"/>
        <v>0</v>
      </c>
      <c r="AE188" s="392">
        <f t="shared" si="40"/>
        <v>0</v>
      </c>
      <c r="AG188" s="409">
        <f t="shared" si="51"/>
        <v>0</v>
      </c>
      <c r="AH188" s="409">
        <f t="shared" si="51"/>
        <v>0</v>
      </c>
      <c r="AI188" s="409">
        <f t="shared" si="51"/>
        <v>1</v>
      </c>
      <c r="AJ188" s="409">
        <f t="shared" si="51"/>
        <v>0</v>
      </c>
      <c r="AK188" s="409">
        <f t="shared" si="51"/>
        <v>0</v>
      </c>
      <c r="AN188" s="391">
        <v>319667.49</v>
      </c>
      <c r="AO188" s="423">
        <f t="shared" si="49"/>
        <v>0</v>
      </c>
    </row>
    <row r="189" spans="1:41">
      <c r="A189" s="391" t="s">
        <v>585</v>
      </c>
      <c r="B189" s="408">
        <v>36280</v>
      </c>
      <c r="C189" s="391" t="s">
        <v>908</v>
      </c>
      <c r="D189" s="391" t="s">
        <v>909</v>
      </c>
      <c r="E189" s="391" t="s">
        <v>539</v>
      </c>
      <c r="F189" s="391" t="s">
        <v>540</v>
      </c>
      <c r="G189" s="391">
        <v>30</v>
      </c>
      <c r="H189" s="392">
        <v>110635.73</v>
      </c>
      <c r="I189" s="392">
        <v>62693.599999999999</v>
      </c>
      <c r="J189" s="392">
        <v>3687.86</v>
      </c>
      <c r="K189" s="391" t="s">
        <v>505</v>
      </c>
      <c r="L189" s="391" t="s">
        <v>505</v>
      </c>
      <c r="O189" s="392">
        <f t="shared" si="50"/>
        <v>0</v>
      </c>
      <c r="P189" s="392">
        <f t="shared" si="50"/>
        <v>0</v>
      </c>
      <c r="Q189" s="392">
        <f t="shared" si="50"/>
        <v>110635.73</v>
      </c>
      <c r="R189" s="392">
        <f t="shared" si="50"/>
        <v>0</v>
      </c>
      <c r="S189" s="392">
        <f t="shared" si="50"/>
        <v>0</v>
      </c>
      <c r="U189" s="392">
        <f t="shared" si="39"/>
        <v>0</v>
      </c>
      <c r="V189" s="392">
        <f t="shared" si="39"/>
        <v>0</v>
      </c>
      <c r="W189" s="392">
        <f t="shared" si="39"/>
        <v>62693.599999999999</v>
      </c>
      <c r="X189" s="392">
        <f t="shared" si="39"/>
        <v>0</v>
      </c>
      <c r="Y189" s="392">
        <f t="shared" si="39"/>
        <v>0</v>
      </c>
      <c r="AA189" s="392">
        <f t="shared" si="40"/>
        <v>0</v>
      </c>
      <c r="AB189" s="392">
        <f t="shared" si="40"/>
        <v>0</v>
      </c>
      <c r="AC189" s="392">
        <f t="shared" si="40"/>
        <v>3687.86</v>
      </c>
      <c r="AD189" s="392">
        <f t="shared" si="40"/>
        <v>0</v>
      </c>
      <c r="AE189" s="392">
        <f t="shared" si="40"/>
        <v>0</v>
      </c>
      <c r="AG189" s="409">
        <f t="shared" si="51"/>
        <v>0</v>
      </c>
      <c r="AH189" s="409">
        <f t="shared" si="51"/>
        <v>0</v>
      </c>
      <c r="AI189" s="409">
        <f t="shared" si="51"/>
        <v>1</v>
      </c>
      <c r="AJ189" s="409">
        <f t="shared" si="51"/>
        <v>0</v>
      </c>
      <c r="AK189" s="409">
        <f t="shared" si="51"/>
        <v>0</v>
      </c>
      <c r="AN189" s="391">
        <v>110635.73</v>
      </c>
      <c r="AO189" s="423">
        <f t="shared" si="49"/>
        <v>0</v>
      </c>
    </row>
    <row r="190" spans="1:41">
      <c r="A190" s="391" t="s">
        <v>585</v>
      </c>
      <c r="B190" s="408">
        <v>36280</v>
      </c>
      <c r="C190" s="391" t="s">
        <v>908</v>
      </c>
      <c r="D190" s="391" t="s">
        <v>910</v>
      </c>
      <c r="E190" s="391" t="s">
        <v>539</v>
      </c>
      <c r="F190" s="391" t="s">
        <v>540</v>
      </c>
      <c r="G190" s="391">
        <v>30</v>
      </c>
      <c r="H190" s="392">
        <v>125394.25</v>
      </c>
      <c r="I190" s="392">
        <v>71056.759999999995</v>
      </c>
      <c r="J190" s="392">
        <v>4179.8100000000004</v>
      </c>
      <c r="K190" s="391" t="s">
        <v>505</v>
      </c>
      <c r="L190" s="391" t="s">
        <v>505</v>
      </c>
      <c r="O190" s="392">
        <f t="shared" si="50"/>
        <v>0</v>
      </c>
      <c r="P190" s="392">
        <f t="shared" si="50"/>
        <v>0</v>
      </c>
      <c r="Q190" s="392">
        <f t="shared" si="50"/>
        <v>125394.25</v>
      </c>
      <c r="R190" s="392">
        <f t="shared" si="50"/>
        <v>0</v>
      </c>
      <c r="S190" s="392">
        <f t="shared" si="50"/>
        <v>0</v>
      </c>
      <c r="U190" s="392">
        <f t="shared" si="39"/>
        <v>0</v>
      </c>
      <c r="V190" s="392">
        <f t="shared" si="39"/>
        <v>0</v>
      </c>
      <c r="W190" s="392">
        <f t="shared" si="39"/>
        <v>71056.759999999995</v>
      </c>
      <c r="X190" s="392">
        <f t="shared" si="39"/>
        <v>0</v>
      </c>
      <c r="Y190" s="392">
        <f t="shared" si="39"/>
        <v>0</v>
      </c>
      <c r="AA190" s="392">
        <f t="shared" si="40"/>
        <v>0</v>
      </c>
      <c r="AB190" s="392">
        <f t="shared" si="40"/>
        <v>0</v>
      </c>
      <c r="AC190" s="392">
        <f t="shared" si="40"/>
        <v>4179.8100000000004</v>
      </c>
      <c r="AD190" s="392">
        <f t="shared" si="40"/>
        <v>0</v>
      </c>
      <c r="AE190" s="392">
        <f t="shared" si="40"/>
        <v>0</v>
      </c>
      <c r="AG190" s="409">
        <f t="shared" si="51"/>
        <v>0</v>
      </c>
      <c r="AH190" s="409">
        <f t="shared" si="51"/>
        <v>0</v>
      </c>
      <c r="AI190" s="409">
        <f t="shared" si="51"/>
        <v>1</v>
      </c>
      <c r="AJ190" s="409">
        <f t="shared" si="51"/>
        <v>0</v>
      </c>
      <c r="AK190" s="409">
        <f t="shared" si="51"/>
        <v>0</v>
      </c>
      <c r="AN190" s="391">
        <v>125394.25</v>
      </c>
      <c r="AO190" s="423">
        <f t="shared" si="49"/>
        <v>0</v>
      </c>
    </row>
    <row r="191" spans="1:41">
      <c r="A191" s="391" t="s">
        <v>572</v>
      </c>
      <c r="B191" s="408">
        <v>36280</v>
      </c>
      <c r="C191" s="391" t="s">
        <v>906</v>
      </c>
      <c r="D191" s="391" t="s">
        <v>911</v>
      </c>
      <c r="E191" s="391" t="s">
        <v>539</v>
      </c>
      <c r="F191" s="391" t="s">
        <v>540</v>
      </c>
      <c r="G191" s="391">
        <v>30</v>
      </c>
      <c r="H191" s="392">
        <v>38250</v>
      </c>
      <c r="I191" s="392">
        <v>21675</v>
      </c>
      <c r="J191" s="392">
        <v>1275</v>
      </c>
      <c r="K191" s="391" t="s">
        <v>505</v>
      </c>
      <c r="L191" s="391" t="s">
        <v>505</v>
      </c>
      <c r="O191" s="392">
        <f t="shared" si="50"/>
        <v>0</v>
      </c>
      <c r="P191" s="392">
        <f t="shared" si="50"/>
        <v>0</v>
      </c>
      <c r="Q191" s="392">
        <f t="shared" si="50"/>
        <v>38250</v>
      </c>
      <c r="R191" s="392">
        <f t="shared" si="50"/>
        <v>0</v>
      </c>
      <c r="S191" s="392">
        <f t="shared" si="50"/>
        <v>0</v>
      </c>
      <c r="U191" s="392">
        <f t="shared" si="39"/>
        <v>0</v>
      </c>
      <c r="V191" s="392">
        <f t="shared" si="39"/>
        <v>0</v>
      </c>
      <c r="W191" s="392">
        <f t="shared" si="39"/>
        <v>21675</v>
      </c>
      <c r="X191" s="392">
        <f t="shared" si="39"/>
        <v>0</v>
      </c>
      <c r="Y191" s="392">
        <f t="shared" si="39"/>
        <v>0</v>
      </c>
      <c r="AA191" s="392">
        <f t="shared" si="40"/>
        <v>0</v>
      </c>
      <c r="AB191" s="392">
        <f t="shared" si="40"/>
        <v>0</v>
      </c>
      <c r="AC191" s="392">
        <f t="shared" si="40"/>
        <v>1275</v>
      </c>
      <c r="AD191" s="392">
        <f t="shared" si="40"/>
        <v>0</v>
      </c>
      <c r="AE191" s="392">
        <f t="shared" si="40"/>
        <v>0</v>
      </c>
      <c r="AG191" s="409">
        <f t="shared" si="51"/>
        <v>0</v>
      </c>
      <c r="AH191" s="409">
        <f t="shared" si="51"/>
        <v>0</v>
      </c>
      <c r="AI191" s="409">
        <f t="shared" si="51"/>
        <v>1</v>
      </c>
      <c r="AJ191" s="409">
        <f t="shared" si="51"/>
        <v>0</v>
      </c>
      <c r="AK191" s="409">
        <f t="shared" si="51"/>
        <v>0</v>
      </c>
      <c r="AN191" s="391">
        <v>38250</v>
      </c>
      <c r="AO191" s="423">
        <f t="shared" si="49"/>
        <v>0</v>
      </c>
    </row>
    <row r="192" spans="1:41">
      <c r="A192" s="391" t="s">
        <v>567</v>
      </c>
      <c r="B192" s="408">
        <v>36646</v>
      </c>
      <c r="C192" s="391" t="s">
        <v>912</v>
      </c>
      <c r="D192" s="391" t="s">
        <v>913</v>
      </c>
      <c r="E192" s="391" t="s">
        <v>539</v>
      </c>
      <c r="F192" s="391" t="s">
        <v>540</v>
      </c>
      <c r="G192" s="391">
        <v>30</v>
      </c>
      <c r="H192" s="392">
        <v>70223.94</v>
      </c>
      <c r="I192" s="392">
        <v>37452.780000000006</v>
      </c>
      <c r="J192" s="392">
        <v>2340.8000000000002</v>
      </c>
      <c r="K192" s="391" t="s">
        <v>505</v>
      </c>
      <c r="L192" s="391" t="s">
        <v>505</v>
      </c>
      <c r="O192" s="392">
        <f t="shared" si="50"/>
        <v>0</v>
      </c>
      <c r="P192" s="392">
        <f t="shared" si="50"/>
        <v>0</v>
      </c>
      <c r="Q192" s="392">
        <f t="shared" si="50"/>
        <v>70223.94</v>
      </c>
      <c r="R192" s="392">
        <f t="shared" si="50"/>
        <v>0</v>
      </c>
      <c r="S192" s="392">
        <f t="shared" si="50"/>
        <v>0</v>
      </c>
      <c r="U192" s="392">
        <f t="shared" ref="U192:Y237" si="52">$I192*AG192</f>
        <v>0</v>
      </c>
      <c r="V192" s="392">
        <f t="shared" si="52"/>
        <v>0</v>
      </c>
      <c r="W192" s="392">
        <f t="shared" si="52"/>
        <v>37452.780000000006</v>
      </c>
      <c r="X192" s="392">
        <f t="shared" si="52"/>
        <v>0</v>
      </c>
      <c r="Y192" s="392">
        <f t="shared" si="52"/>
        <v>0</v>
      </c>
      <c r="AA192" s="392">
        <f t="shared" ref="AA192:AE237" si="53">$J192*AG192</f>
        <v>0</v>
      </c>
      <c r="AB192" s="392">
        <f t="shared" si="53"/>
        <v>0</v>
      </c>
      <c r="AC192" s="392">
        <f t="shared" si="53"/>
        <v>2340.8000000000002</v>
      </c>
      <c r="AD192" s="392">
        <f t="shared" si="53"/>
        <v>0</v>
      </c>
      <c r="AE192" s="392">
        <f t="shared" si="53"/>
        <v>0</v>
      </c>
      <c r="AG192" s="409">
        <f t="shared" si="51"/>
        <v>0</v>
      </c>
      <c r="AH192" s="409">
        <f t="shared" si="51"/>
        <v>0</v>
      </c>
      <c r="AI192" s="409">
        <f t="shared" si="51"/>
        <v>1</v>
      </c>
      <c r="AJ192" s="409">
        <f t="shared" si="51"/>
        <v>0</v>
      </c>
      <c r="AK192" s="409">
        <f t="shared" si="51"/>
        <v>0</v>
      </c>
      <c r="AN192" s="391">
        <v>70223.94</v>
      </c>
      <c r="AO192" s="423">
        <f t="shared" si="49"/>
        <v>0</v>
      </c>
    </row>
    <row r="193" spans="1:41">
      <c r="A193" s="391" t="s">
        <v>616</v>
      </c>
      <c r="B193" s="408">
        <v>36646</v>
      </c>
      <c r="C193" s="391" t="s">
        <v>914</v>
      </c>
      <c r="D193" s="391" t="s">
        <v>915</v>
      </c>
      <c r="E193" s="391" t="s">
        <v>539</v>
      </c>
      <c r="F193" s="391" t="s">
        <v>540</v>
      </c>
      <c r="G193" s="391">
        <v>25</v>
      </c>
      <c r="H193" s="392">
        <v>38302.879999999997</v>
      </c>
      <c r="I193" s="392">
        <v>24513.879999999997</v>
      </c>
      <c r="J193" s="392">
        <v>1532.12</v>
      </c>
      <c r="K193" s="391" t="s">
        <v>505</v>
      </c>
      <c r="L193" s="391" t="s">
        <v>505</v>
      </c>
      <c r="O193" s="392">
        <f t="shared" si="50"/>
        <v>0</v>
      </c>
      <c r="P193" s="392">
        <f t="shared" si="50"/>
        <v>0</v>
      </c>
      <c r="Q193" s="392">
        <f t="shared" si="50"/>
        <v>38302.879999999997</v>
      </c>
      <c r="R193" s="392">
        <f t="shared" si="50"/>
        <v>0</v>
      </c>
      <c r="S193" s="392">
        <f t="shared" si="50"/>
        <v>0</v>
      </c>
      <c r="U193" s="392">
        <f t="shared" si="52"/>
        <v>0</v>
      </c>
      <c r="V193" s="392">
        <f t="shared" si="52"/>
        <v>0</v>
      </c>
      <c r="W193" s="392">
        <f t="shared" si="52"/>
        <v>24513.879999999997</v>
      </c>
      <c r="X193" s="392">
        <f t="shared" si="52"/>
        <v>0</v>
      </c>
      <c r="Y193" s="392">
        <f t="shared" si="52"/>
        <v>0</v>
      </c>
      <c r="AA193" s="392">
        <f t="shared" si="53"/>
        <v>0</v>
      </c>
      <c r="AB193" s="392">
        <f t="shared" si="53"/>
        <v>0</v>
      </c>
      <c r="AC193" s="392">
        <f t="shared" si="53"/>
        <v>1532.12</v>
      </c>
      <c r="AD193" s="392">
        <f t="shared" si="53"/>
        <v>0</v>
      </c>
      <c r="AE193" s="392">
        <f t="shared" si="53"/>
        <v>0</v>
      </c>
      <c r="AG193" s="409">
        <f t="shared" si="51"/>
        <v>0</v>
      </c>
      <c r="AH193" s="409">
        <f t="shared" si="51"/>
        <v>0</v>
      </c>
      <c r="AI193" s="409">
        <f t="shared" si="51"/>
        <v>1</v>
      </c>
      <c r="AJ193" s="409">
        <f t="shared" si="51"/>
        <v>0</v>
      </c>
      <c r="AK193" s="409">
        <f t="shared" si="51"/>
        <v>0</v>
      </c>
      <c r="AN193" s="391">
        <v>38302.879999999997</v>
      </c>
      <c r="AO193" s="423">
        <f t="shared" si="49"/>
        <v>0</v>
      </c>
    </row>
    <row r="194" spans="1:41">
      <c r="A194" s="391" t="s">
        <v>585</v>
      </c>
      <c r="B194" s="408">
        <v>36646</v>
      </c>
      <c r="C194" s="391" t="s">
        <v>916</v>
      </c>
      <c r="D194" s="391" t="s">
        <v>917</v>
      </c>
      <c r="E194" s="391" t="s">
        <v>539</v>
      </c>
      <c r="F194" s="391" t="s">
        <v>540</v>
      </c>
      <c r="G194" s="391">
        <v>30</v>
      </c>
      <c r="H194" s="392">
        <v>88923.69</v>
      </c>
      <c r="I194" s="392">
        <v>47425.950000000004</v>
      </c>
      <c r="J194" s="392">
        <v>2964.12</v>
      </c>
      <c r="K194" s="391" t="s">
        <v>505</v>
      </c>
      <c r="L194" s="391" t="s">
        <v>778</v>
      </c>
      <c r="O194" s="392">
        <f>$H194*AG194</f>
        <v>0</v>
      </c>
      <c r="P194" s="392">
        <f>$H194*AH194</f>
        <v>0</v>
      </c>
      <c r="Q194" s="392">
        <f>$H194*AI194</f>
        <v>88923.69</v>
      </c>
      <c r="R194" s="392">
        <f>$H194*AJ194</f>
        <v>0</v>
      </c>
      <c r="S194" s="392">
        <f>$H194*AK194</f>
        <v>0</v>
      </c>
      <c r="U194" s="392">
        <f t="shared" si="52"/>
        <v>0</v>
      </c>
      <c r="V194" s="392">
        <f t="shared" si="52"/>
        <v>0</v>
      </c>
      <c r="W194" s="392">
        <f t="shared" si="52"/>
        <v>47425.950000000004</v>
      </c>
      <c r="X194" s="392">
        <f t="shared" si="52"/>
        <v>0</v>
      </c>
      <c r="Y194" s="392">
        <f t="shared" si="52"/>
        <v>0</v>
      </c>
      <c r="AA194" s="392">
        <f t="shared" si="53"/>
        <v>0</v>
      </c>
      <c r="AB194" s="392">
        <f t="shared" si="53"/>
        <v>0</v>
      </c>
      <c r="AC194" s="392">
        <f t="shared" si="53"/>
        <v>2964.12</v>
      </c>
      <c r="AD194" s="392">
        <f t="shared" si="53"/>
        <v>0</v>
      </c>
      <c r="AE194" s="392">
        <f t="shared" si="53"/>
        <v>0</v>
      </c>
      <c r="AG194" s="409">
        <v>0</v>
      </c>
      <c r="AH194" s="409">
        <v>0</v>
      </c>
      <c r="AI194" s="410">
        <v>1</v>
      </c>
      <c r="AJ194" s="409">
        <v>0</v>
      </c>
      <c r="AK194" s="409">
        <v>0</v>
      </c>
      <c r="AN194" s="391">
        <v>88923.69</v>
      </c>
      <c r="AO194" s="423">
        <f t="shared" si="49"/>
        <v>0</v>
      </c>
    </row>
    <row r="195" spans="1:41">
      <c r="A195" s="391" t="s">
        <v>585</v>
      </c>
      <c r="B195" s="408">
        <v>36646</v>
      </c>
      <c r="C195" s="391" t="s">
        <v>918</v>
      </c>
      <c r="D195" s="391" t="s">
        <v>919</v>
      </c>
      <c r="E195" s="391" t="s">
        <v>539</v>
      </c>
      <c r="F195" s="391" t="s">
        <v>540</v>
      </c>
      <c r="G195" s="391">
        <v>30</v>
      </c>
      <c r="H195" s="392">
        <v>127272.7</v>
      </c>
      <c r="I195" s="392">
        <v>67878.75</v>
      </c>
      <c r="J195" s="392">
        <v>4242.42</v>
      </c>
      <c r="K195" s="391" t="s">
        <v>505</v>
      </c>
      <c r="L195" s="391" t="s">
        <v>505</v>
      </c>
      <c r="O195" s="392">
        <f t="shared" ref="O195:S196" si="54">IF(O$8=$K195,$H195,0)</f>
        <v>0</v>
      </c>
      <c r="P195" s="392">
        <f t="shared" si="54"/>
        <v>0</v>
      </c>
      <c r="Q195" s="392">
        <f t="shared" si="54"/>
        <v>127272.7</v>
      </c>
      <c r="R195" s="392">
        <f t="shared" si="54"/>
        <v>0</v>
      </c>
      <c r="S195" s="392">
        <f t="shared" si="54"/>
        <v>0</v>
      </c>
      <c r="U195" s="392">
        <f t="shared" si="52"/>
        <v>0</v>
      </c>
      <c r="V195" s="392">
        <f t="shared" si="52"/>
        <v>0</v>
      </c>
      <c r="W195" s="392">
        <f t="shared" si="52"/>
        <v>67878.75</v>
      </c>
      <c r="X195" s="392">
        <f t="shared" si="52"/>
        <v>0</v>
      </c>
      <c r="Y195" s="392">
        <f t="shared" si="52"/>
        <v>0</v>
      </c>
      <c r="AA195" s="392">
        <f t="shared" si="53"/>
        <v>0</v>
      </c>
      <c r="AB195" s="392">
        <f t="shared" si="53"/>
        <v>0</v>
      </c>
      <c r="AC195" s="392">
        <f t="shared" si="53"/>
        <v>4242.42</v>
      </c>
      <c r="AD195" s="392">
        <f t="shared" si="53"/>
        <v>0</v>
      </c>
      <c r="AE195" s="392">
        <f t="shared" si="53"/>
        <v>0</v>
      </c>
      <c r="AG195" s="409">
        <f t="shared" ref="AG195:AK196" si="55">IF($H195=0,0,O195/$H195)</f>
        <v>0</v>
      </c>
      <c r="AH195" s="409">
        <f t="shared" si="55"/>
        <v>0</v>
      </c>
      <c r="AI195" s="409">
        <f t="shared" si="55"/>
        <v>1</v>
      </c>
      <c r="AJ195" s="409">
        <f t="shared" si="55"/>
        <v>0</v>
      </c>
      <c r="AK195" s="409">
        <f t="shared" si="55"/>
        <v>0</v>
      </c>
      <c r="AN195" s="391">
        <v>127272.7</v>
      </c>
      <c r="AO195" s="423">
        <f t="shared" si="49"/>
        <v>0</v>
      </c>
    </row>
    <row r="196" spans="1:41">
      <c r="A196" s="391" t="s">
        <v>572</v>
      </c>
      <c r="B196" s="408">
        <v>36646</v>
      </c>
      <c r="C196" s="391" t="s">
        <v>920</v>
      </c>
      <c r="D196" s="391" t="s">
        <v>921</v>
      </c>
      <c r="E196" s="391" t="s">
        <v>539</v>
      </c>
      <c r="F196" s="391" t="s">
        <v>540</v>
      </c>
      <c r="G196" s="391">
        <v>30</v>
      </c>
      <c r="H196" s="392">
        <v>365418.4</v>
      </c>
      <c r="I196" s="392">
        <v>194889.78999999998</v>
      </c>
      <c r="J196" s="392">
        <v>12180.61</v>
      </c>
      <c r="K196" s="391" t="s">
        <v>505</v>
      </c>
      <c r="L196" s="391" t="s">
        <v>505</v>
      </c>
      <c r="O196" s="392">
        <f t="shared" si="54"/>
        <v>0</v>
      </c>
      <c r="P196" s="392">
        <f t="shared" si="54"/>
        <v>0</v>
      </c>
      <c r="Q196" s="392">
        <f t="shared" si="54"/>
        <v>365418.4</v>
      </c>
      <c r="R196" s="392">
        <f t="shared" si="54"/>
        <v>0</v>
      </c>
      <c r="S196" s="392">
        <f t="shared" si="54"/>
        <v>0</v>
      </c>
      <c r="U196" s="392">
        <f t="shared" si="52"/>
        <v>0</v>
      </c>
      <c r="V196" s="392">
        <f t="shared" si="52"/>
        <v>0</v>
      </c>
      <c r="W196" s="392">
        <f t="shared" si="52"/>
        <v>194889.78999999998</v>
      </c>
      <c r="X196" s="392">
        <f t="shared" si="52"/>
        <v>0</v>
      </c>
      <c r="Y196" s="392">
        <f t="shared" si="52"/>
        <v>0</v>
      </c>
      <c r="AA196" s="392">
        <f t="shared" si="53"/>
        <v>0</v>
      </c>
      <c r="AB196" s="392">
        <f t="shared" si="53"/>
        <v>0</v>
      </c>
      <c r="AC196" s="392">
        <f t="shared" si="53"/>
        <v>12180.61</v>
      </c>
      <c r="AD196" s="392">
        <f t="shared" si="53"/>
        <v>0</v>
      </c>
      <c r="AE196" s="392">
        <f t="shared" si="53"/>
        <v>0</v>
      </c>
      <c r="AG196" s="409">
        <f t="shared" si="55"/>
        <v>0</v>
      </c>
      <c r="AH196" s="409">
        <f t="shared" si="55"/>
        <v>0</v>
      </c>
      <c r="AI196" s="409">
        <f t="shared" si="55"/>
        <v>1</v>
      </c>
      <c r="AJ196" s="409">
        <f t="shared" si="55"/>
        <v>0</v>
      </c>
      <c r="AK196" s="409">
        <f t="shared" si="55"/>
        <v>0</v>
      </c>
      <c r="AN196" s="391">
        <v>365418.4</v>
      </c>
      <c r="AO196" s="423">
        <f t="shared" si="49"/>
        <v>0</v>
      </c>
    </row>
    <row r="197" spans="1:41">
      <c r="A197" s="391" t="s">
        <v>922</v>
      </c>
      <c r="B197" s="408">
        <v>36646</v>
      </c>
      <c r="C197" s="391" t="s">
        <v>923</v>
      </c>
      <c r="D197" s="391" t="s">
        <v>924</v>
      </c>
      <c r="E197" s="391" t="s">
        <v>539</v>
      </c>
      <c r="F197" s="391" t="s">
        <v>540</v>
      </c>
      <c r="G197" s="391">
        <v>30</v>
      </c>
      <c r="H197" s="392">
        <v>9593838.8399999999</v>
      </c>
      <c r="I197" s="392">
        <v>5116664.71</v>
      </c>
      <c r="J197" s="392">
        <v>319794.63</v>
      </c>
      <c r="K197" s="391" t="s">
        <v>516</v>
      </c>
      <c r="L197" s="391" t="s">
        <v>516</v>
      </c>
      <c r="O197" s="392">
        <f>$H197*AG197</f>
        <v>0</v>
      </c>
      <c r="P197" s="392">
        <f t="shared" ref="P197:S197" si="56">$H197*AH197</f>
        <v>2878151.6519999998</v>
      </c>
      <c r="Q197" s="392">
        <f t="shared" si="56"/>
        <v>6715687.1879999992</v>
      </c>
      <c r="R197" s="392">
        <f t="shared" si="56"/>
        <v>0</v>
      </c>
      <c r="S197" s="392">
        <f t="shared" si="56"/>
        <v>0</v>
      </c>
      <c r="U197" s="392">
        <f t="shared" si="52"/>
        <v>0</v>
      </c>
      <c r="V197" s="392">
        <f t="shared" si="52"/>
        <v>1534999.4129999999</v>
      </c>
      <c r="W197" s="392">
        <f t="shared" si="52"/>
        <v>3581665.2969999998</v>
      </c>
      <c r="X197" s="392">
        <f t="shared" si="52"/>
        <v>0</v>
      </c>
      <c r="Y197" s="392">
        <f t="shared" si="52"/>
        <v>0</v>
      </c>
      <c r="AA197" s="392">
        <f t="shared" si="53"/>
        <v>0</v>
      </c>
      <c r="AB197" s="392">
        <f t="shared" si="53"/>
        <v>95938.388999999996</v>
      </c>
      <c r="AC197" s="392">
        <f t="shared" si="53"/>
        <v>223856.24099999998</v>
      </c>
      <c r="AD197" s="392">
        <f t="shared" si="53"/>
        <v>0</v>
      </c>
      <c r="AE197" s="392">
        <f t="shared" si="53"/>
        <v>0</v>
      </c>
      <c r="AG197" s="410">
        <v>0</v>
      </c>
      <c r="AH197" s="410">
        <v>0.3</v>
      </c>
      <c r="AI197" s="410">
        <f>1-AH197</f>
        <v>0.7</v>
      </c>
      <c r="AJ197" s="410">
        <v>0</v>
      </c>
      <c r="AK197" s="410">
        <v>0</v>
      </c>
      <c r="AN197" s="391">
        <v>9593838.8399999999</v>
      </c>
      <c r="AO197" s="423">
        <f t="shared" si="49"/>
        <v>0</v>
      </c>
    </row>
    <row r="198" spans="1:41">
      <c r="A198" s="391" t="s">
        <v>632</v>
      </c>
      <c r="B198" s="408">
        <v>36646</v>
      </c>
      <c r="C198" s="391" t="s">
        <v>896</v>
      </c>
      <c r="D198" s="391" t="s">
        <v>925</v>
      </c>
      <c r="E198" s="391" t="s">
        <v>539</v>
      </c>
      <c r="F198" s="391" t="s">
        <v>540</v>
      </c>
      <c r="G198" s="391">
        <v>5</v>
      </c>
      <c r="H198" s="392">
        <v>1729.7</v>
      </c>
      <c r="I198" s="392">
        <v>1729.7</v>
      </c>
      <c r="J198" s="392">
        <v>0</v>
      </c>
      <c r="K198" s="391" t="s">
        <v>515</v>
      </c>
      <c r="L198" s="391" t="s">
        <v>515</v>
      </c>
      <c r="O198" s="392">
        <f t="shared" ref="O198:S207" si="57">IF(O$8=$K198,$H198,0)</f>
        <v>0</v>
      </c>
      <c r="P198" s="392">
        <f t="shared" si="57"/>
        <v>0</v>
      </c>
      <c r="Q198" s="392">
        <f t="shared" si="57"/>
        <v>0</v>
      </c>
      <c r="R198" s="392">
        <f t="shared" si="57"/>
        <v>1729.7</v>
      </c>
      <c r="S198" s="392">
        <f t="shared" si="57"/>
        <v>0</v>
      </c>
      <c r="U198" s="392">
        <f t="shared" si="52"/>
        <v>0</v>
      </c>
      <c r="V198" s="392">
        <f t="shared" si="52"/>
        <v>0</v>
      </c>
      <c r="W198" s="392">
        <f t="shared" si="52"/>
        <v>0</v>
      </c>
      <c r="X198" s="392">
        <f t="shared" si="52"/>
        <v>1729.7</v>
      </c>
      <c r="Y198" s="392">
        <f t="shared" si="52"/>
        <v>0</v>
      </c>
      <c r="AA198" s="392">
        <f t="shared" si="53"/>
        <v>0</v>
      </c>
      <c r="AB198" s="392">
        <f t="shared" si="53"/>
        <v>0</v>
      </c>
      <c r="AC198" s="392">
        <f t="shared" si="53"/>
        <v>0</v>
      </c>
      <c r="AD198" s="392">
        <f t="shared" si="53"/>
        <v>0</v>
      </c>
      <c r="AE198" s="392">
        <f t="shared" si="53"/>
        <v>0</v>
      </c>
      <c r="AG198" s="409">
        <f t="shared" ref="AG198:AK232" si="58">IF($H198=0,0,O198/$H198)</f>
        <v>0</v>
      </c>
      <c r="AH198" s="409">
        <f t="shared" si="58"/>
        <v>0</v>
      </c>
      <c r="AI198" s="409">
        <f t="shared" si="58"/>
        <v>0</v>
      </c>
      <c r="AJ198" s="409">
        <f t="shared" si="58"/>
        <v>1</v>
      </c>
      <c r="AK198" s="409">
        <f t="shared" si="58"/>
        <v>0</v>
      </c>
      <c r="AN198" s="391">
        <v>1729.7</v>
      </c>
      <c r="AO198" s="423">
        <f t="shared" si="49"/>
        <v>0</v>
      </c>
    </row>
    <row r="199" spans="1:41">
      <c r="A199" s="391" t="s">
        <v>632</v>
      </c>
      <c r="B199" s="408">
        <v>36646</v>
      </c>
      <c r="C199" s="391" t="s">
        <v>926</v>
      </c>
      <c r="D199" s="391" t="s">
        <v>927</v>
      </c>
      <c r="E199" s="391" t="s">
        <v>539</v>
      </c>
      <c r="F199" s="391" t="s">
        <v>540</v>
      </c>
      <c r="G199" s="391">
        <v>5</v>
      </c>
      <c r="H199" s="392">
        <v>0</v>
      </c>
      <c r="I199" s="392">
        <v>0</v>
      </c>
      <c r="J199" s="392">
        <v>0</v>
      </c>
      <c r="K199" s="391" t="s">
        <v>515</v>
      </c>
      <c r="L199" s="391" t="s">
        <v>515</v>
      </c>
      <c r="O199" s="392">
        <f t="shared" si="57"/>
        <v>0</v>
      </c>
      <c r="P199" s="392">
        <f t="shared" si="57"/>
        <v>0</v>
      </c>
      <c r="Q199" s="392">
        <f t="shared" si="57"/>
        <v>0</v>
      </c>
      <c r="R199" s="392">
        <f t="shared" si="57"/>
        <v>0</v>
      </c>
      <c r="S199" s="392">
        <f t="shared" si="57"/>
        <v>0</v>
      </c>
      <c r="U199" s="392">
        <f t="shared" si="52"/>
        <v>0</v>
      </c>
      <c r="V199" s="392">
        <f t="shared" si="52"/>
        <v>0</v>
      </c>
      <c r="W199" s="392">
        <f t="shared" si="52"/>
        <v>0</v>
      </c>
      <c r="X199" s="392">
        <f t="shared" si="52"/>
        <v>0</v>
      </c>
      <c r="Y199" s="392">
        <f t="shared" si="52"/>
        <v>0</v>
      </c>
      <c r="AA199" s="392">
        <f t="shared" si="53"/>
        <v>0</v>
      </c>
      <c r="AB199" s="392">
        <f t="shared" si="53"/>
        <v>0</v>
      </c>
      <c r="AC199" s="392">
        <f t="shared" si="53"/>
        <v>0</v>
      </c>
      <c r="AD199" s="392">
        <f t="shared" si="53"/>
        <v>0</v>
      </c>
      <c r="AE199" s="392">
        <f t="shared" si="53"/>
        <v>0</v>
      </c>
      <c r="AG199" s="409">
        <f t="shared" si="58"/>
        <v>0</v>
      </c>
      <c r="AH199" s="409">
        <f t="shared" si="58"/>
        <v>0</v>
      </c>
      <c r="AI199" s="409">
        <f t="shared" si="58"/>
        <v>0</v>
      </c>
      <c r="AJ199" s="409">
        <f t="shared" si="58"/>
        <v>0</v>
      </c>
      <c r="AK199" s="409">
        <f t="shared" si="58"/>
        <v>0</v>
      </c>
      <c r="AN199" s="391">
        <v>0</v>
      </c>
      <c r="AO199" s="423">
        <f t="shared" si="49"/>
        <v>0</v>
      </c>
    </row>
    <row r="200" spans="1:41">
      <c r="A200" s="391" t="s">
        <v>632</v>
      </c>
      <c r="B200" s="408">
        <v>36646</v>
      </c>
      <c r="C200" s="391" t="s">
        <v>926</v>
      </c>
      <c r="D200" s="391" t="s">
        <v>928</v>
      </c>
      <c r="E200" s="391" t="s">
        <v>539</v>
      </c>
      <c r="F200" s="391" t="s">
        <v>540</v>
      </c>
      <c r="G200" s="391">
        <v>5</v>
      </c>
      <c r="H200" s="392">
        <v>0</v>
      </c>
      <c r="I200" s="392">
        <v>0</v>
      </c>
      <c r="J200" s="392">
        <v>0</v>
      </c>
      <c r="K200" s="391" t="s">
        <v>515</v>
      </c>
      <c r="L200" s="391" t="s">
        <v>515</v>
      </c>
      <c r="O200" s="392">
        <f t="shared" si="57"/>
        <v>0</v>
      </c>
      <c r="P200" s="392">
        <f t="shared" si="57"/>
        <v>0</v>
      </c>
      <c r="Q200" s="392">
        <f t="shared" si="57"/>
        <v>0</v>
      </c>
      <c r="R200" s="392">
        <f t="shared" si="57"/>
        <v>0</v>
      </c>
      <c r="S200" s="392">
        <f t="shared" si="57"/>
        <v>0</v>
      </c>
      <c r="U200" s="392">
        <f t="shared" si="52"/>
        <v>0</v>
      </c>
      <c r="V200" s="392">
        <f t="shared" si="52"/>
        <v>0</v>
      </c>
      <c r="W200" s="392">
        <f t="shared" si="52"/>
        <v>0</v>
      </c>
      <c r="X200" s="392">
        <f t="shared" si="52"/>
        <v>0</v>
      </c>
      <c r="Y200" s="392">
        <f t="shared" si="52"/>
        <v>0</v>
      </c>
      <c r="AA200" s="392">
        <f t="shared" si="53"/>
        <v>0</v>
      </c>
      <c r="AB200" s="392">
        <f t="shared" si="53"/>
        <v>0</v>
      </c>
      <c r="AC200" s="392">
        <f t="shared" si="53"/>
        <v>0</v>
      </c>
      <c r="AD200" s="392">
        <f t="shared" si="53"/>
        <v>0</v>
      </c>
      <c r="AE200" s="392">
        <f t="shared" si="53"/>
        <v>0</v>
      </c>
      <c r="AG200" s="409">
        <f t="shared" si="58"/>
        <v>0</v>
      </c>
      <c r="AH200" s="409">
        <f t="shared" si="58"/>
        <v>0</v>
      </c>
      <c r="AI200" s="409">
        <f t="shared" si="58"/>
        <v>0</v>
      </c>
      <c r="AJ200" s="409">
        <f t="shared" si="58"/>
        <v>0</v>
      </c>
      <c r="AK200" s="409">
        <f t="shared" si="58"/>
        <v>0</v>
      </c>
      <c r="AN200" s="391">
        <v>0</v>
      </c>
      <c r="AO200" s="423">
        <f t="shared" si="49"/>
        <v>0</v>
      </c>
    </row>
    <row r="201" spans="1:41">
      <c r="A201" s="391" t="s">
        <v>632</v>
      </c>
      <c r="B201" s="408">
        <v>36646</v>
      </c>
      <c r="C201" s="391" t="s">
        <v>896</v>
      </c>
      <c r="D201" s="391" t="s">
        <v>929</v>
      </c>
      <c r="E201" s="391" t="s">
        <v>539</v>
      </c>
      <c r="F201" s="391" t="s">
        <v>540</v>
      </c>
      <c r="G201" s="391">
        <v>5</v>
      </c>
      <c r="H201" s="392">
        <v>1729.7</v>
      </c>
      <c r="I201" s="392">
        <v>1729.7</v>
      </c>
      <c r="J201" s="392">
        <v>0</v>
      </c>
      <c r="K201" s="391" t="s">
        <v>515</v>
      </c>
      <c r="L201" s="391" t="s">
        <v>515</v>
      </c>
      <c r="O201" s="392">
        <f t="shared" si="57"/>
        <v>0</v>
      </c>
      <c r="P201" s="392">
        <f t="shared" si="57"/>
        <v>0</v>
      </c>
      <c r="Q201" s="392">
        <f t="shared" si="57"/>
        <v>0</v>
      </c>
      <c r="R201" s="392">
        <f t="shared" si="57"/>
        <v>1729.7</v>
      </c>
      <c r="S201" s="392">
        <f t="shared" si="57"/>
        <v>0</v>
      </c>
      <c r="U201" s="392">
        <f t="shared" si="52"/>
        <v>0</v>
      </c>
      <c r="V201" s="392">
        <f t="shared" si="52"/>
        <v>0</v>
      </c>
      <c r="W201" s="392">
        <f t="shared" si="52"/>
        <v>0</v>
      </c>
      <c r="X201" s="392">
        <f t="shared" si="52"/>
        <v>1729.7</v>
      </c>
      <c r="Y201" s="392">
        <f t="shared" si="52"/>
        <v>0</v>
      </c>
      <c r="AA201" s="392">
        <f t="shared" si="53"/>
        <v>0</v>
      </c>
      <c r="AB201" s="392">
        <f t="shared" si="53"/>
        <v>0</v>
      </c>
      <c r="AC201" s="392">
        <f t="shared" si="53"/>
        <v>0</v>
      </c>
      <c r="AD201" s="392">
        <f t="shared" si="53"/>
        <v>0</v>
      </c>
      <c r="AE201" s="392">
        <f t="shared" si="53"/>
        <v>0</v>
      </c>
      <c r="AG201" s="409">
        <f t="shared" si="58"/>
        <v>0</v>
      </c>
      <c r="AH201" s="409">
        <f t="shared" si="58"/>
        <v>0</v>
      </c>
      <c r="AI201" s="409">
        <f t="shared" si="58"/>
        <v>0</v>
      </c>
      <c r="AJ201" s="409">
        <f t="shared" si="58"/>
        <v>1</v>
      </c>
      <c r="AK201" s="409">
        <f t="shared" si="58"/>
        <v>0</v>
      </c>
      <c r="AN201" s="391">
        <v>1729.7</v>
      </c>
      <c r="AO201" s="423">
        <f t="shared" si="49"/>
        <v>0</v>
      </c>
    </row>
    <row r="202" spans="1:41">
      <c r="A202" s="391" t="s">
        <v>632</v>
      </c>
      <c r="B202" s="408">
        <v>36646</v>
      </c>
      <c r="C202" s="391" t="s">
        <v>930</v>
      </c>
      <c r="D202" s="391" t="s">
        <v>931</v>
      </c>
      <c r="E202" s="391" t="s">
        <v>539</v>
      </c>
      <c r="F202" s="391" t="s">
        <v>540</v>
      </c>
      <c r="G202" s="391">
        <v>5</v>
      </c>
      <c r="H202" s="392">
        <v>2376.59</v>
      </c>
      <c r="I202" s="392">
        <v>2376.59</v>
      </c>
      <c r="J202" s="392">
        <v>0</v>
      </c>
      <c r="K202" s="391" t="s">
        <v>515</v>
      </c>
      <c r="L202" s="391" t="s">
        <v>515</v>
      </c>
      <c r="O202" s="392">
        <f t="shared" si="57"/>
        <v>0</v>
      </c>
      <c r="P202" s="392">
        <f t="shared" si="57"/>
        <v>0</v>
      </c>
      <c r="Q202" s="392">
        <f t="shared" si="57"/>
        <v>0</v>
      </c>
      <c r="R202" s="392">
        <f t="shared" si="57"/>
        <v>2376.59</v>
      </c>
      <c r="S202" s="392">
        <f t="shared" si="57"/>
        <v>0</v>
      </c>
      <c r="U202" s="392">
        <f t="shared" si="52"/>
        <v>0</v>
      </c>
      <c r="V202" s="392">
        <f t="shared" si="52"/>
        <v>0</v>
      </c>
      <c r="W202" s="392">
        <f t="shared" si="52"/>
        <v>0</v>
      </c>
      <c r="X202" s="392">
        <f t="shared" si="52"/>
        <v>2376.59</v>
      </c>
      <c r="Y202" s="392">
        <f t="shared" si="52"/>
        <v>0</v>
      </c>
      <c r="AA202" s="392">
        <f t="shared" si="53"/>
        <v>0</v>
      </c>
      <c r="AB202" s="392">
        <f t="shared" si="53"/>
        <v>0</v>
      </c>
      <c r="AC202" s="392">
        <f t="shared" si="53"/>
        <v>0</v>
      </c>
      <c r="AD202" s="392">
        <f t="shared" si="53"/>
        <v>0</v>
      </c>
      <c r="AE202" s="392">
        <f t="shared" si="53"/>
        <v>0</v>
      </c>
      <c r="AG202" s="409">
        <f t="shared" si="58"/>
        <v>0</v>
      </c>
      <c r="AH202" s="409">
        <f t="shared" si="58"/>
        <v>0</v>
      </c>
      <c r="AI202" s="409">
        <f t="shared" si="58"/>
        <v>0</v>
      </c>
      <c r="AJ202" s="409">
        <f t="shared" si="58"/>
        <v>1</v>
      </c>
      <c r="AK202" s="409">
        <f t="shared" si="58"/>
        <v>0</v>
      </c>
      <c r="AN202" s="391">
        <v>2376.59</v>
      </c>
      <c r="AO202" s="423">
        <f t="shared" si="49"/>
        <v>0</v>
      </c>
    </row>
    <row r="203" spans="1:41">
      <c r="A203" s="391" t="s">
        <v>632</v>
      </c>
      <c r="B203" s="408">
        <v>36646</v>
      </c>
      <c r="C203" s="391" t="s">
        <v>932</v>
      </c>
      <c r="D203" s="391" t="s">
        <v>933</v>
      </c>
      <c r="E203" s="391" t="s">
        <v>539</v>
      </c>
      <c r="F203" s="391" t="s">
        <v>540</v>
      </c>
      <c r="G203" s="391">
        <v>5</v>
      </c>
      <c r="H203" s="392">
        <v>3031.12</v>
      </c>
      <c r="I203" s="392">
        <v>3031.12</v>
      </c>
      <c r="J203" s="392">
        <v>0</v>
      </c>
      <c r="K203" s="391" t="s">
        <v>515</v>
      </c>
      <c r="L203" s="391" t="s">
        <v>515</v>
      </c>
      <c r="O203" s="392">
        <f t="shared" si="57"/>
        <v>0</v>
      </c>
      <c r="P203" s="392">
        <f t="shared" si="57"/>
        <v>0</v>
      </c>
      <c r="Q203" s="392">
        <f t="shared" si="57"/>
        <v>0</v>
      </c>
      <c r="R203" s="392">
        <f t="shared" si="57"/>
        <v>3031.12</v>
      </c>
      <c r="S203" s="392">
        <f t="shared" si="57"/>
        <v>0</v>
      </c>
      <c r="U203" s="392">
        <f t="shared" si="52"/>
        <v>0</v>
      </c>
      <c r="V203" s="392">
        <f t="shared" si="52"/>
        <v>0</v>
      </c>
      <c r="W203" s="392">
        <f t="shared" si="52"/>
        <v>0</v>
      </c>
      <c r="X203" s="392">
        <f t="shared" si="52"/>
        <v>3031.12</v>
      </c>
      <c r="Y203" s="392">
        <f t="shared" si="52"/>
        <v>0</v>
      </c>
      <c r="AA203" s="392">
        <f t="shared" si="53"/>
        <v>0</v>
      </c>
      <c r="AB203" s="392">
        <f t="shared" si="53"/>
        <v>0</v>
      </c>
      <c r="AC203" s="392">
        <f t="shared" si="53"/>
        <v>0</v>
      </c>
      <c r="AD203" s="392">
        <f t="shared" si="53"/>
        <v>0</v>
      </c>
      <c r="AE203" s="392">
        <f t="shared" si="53"/>
        <v>0</v>
      </c>
      <c r="AG203" s="409">
        <f t="shared" si="58"/>
        <v>0</v>
      </c>
      <c r="AH203" s="409">
        <f t="shared" si="58"/>
        <v>0</v>
      </c>
      <c r="AI203" s="409">
        <f t="shared" si="58"/>
        <v>0</v>
      </c>
      <c r="AJ203" s="409">
        <f t="shared" si="58"/>
        <v>1</v>
      </c>
      <c r="AK203" s="409">
        <f t="shared" si="58"/>
        <v>0</v>
      </c>
      <c r="AN203" s="391">
        <v>3031.12</v>
      </c>
      <c r="AO203" s="423">
        <f t="shared" si="49"/>
        <v>0</v>
      </c>
    </row>
    <row r="204" spans="1:41">
      <c r="A204" s="391" t="s">
        <v>632</v>
      </c>
      <c r="B204" s="408">
        <v>36646</v>
      </c>
      <c r="C204" s="391" t="s">
        <v>934</v>
      </c>
      <c r="D204" s="391" t="s">
        <v>935</v>
      </c>
      <c r="E204" s="391" t="s">
        <v>539</v>
      </c>
      <c r="F204" s="391" t="s">
        <v>540</v>
      </c>
      <c r="G204" s="391">
        <v>8</v>
      </c>
      <c r="H204" s="392">
        <v>775</v>
      </c>
      <c r="I204" s="392">
        <v>775</v>
      </c>
      <c r="J204" s="392">
        <v>0</v>
      </c>
      <c r="K204" s="391" t="s">
        <v>515</v>
      </c>
      <c r="L204" s="391" t="s">
        <v>515</v>
      </c>
      <c r="O204" s="392">
        <f t="shared" si="57"/>
        <v>0</v>
      </c>
      <c r="P204" s="392">
        <f t="shared" si="57"/>
        <v>0</v>
      </c>
      <c r="Q204" s="392">
        <f t="shared" si="57"/>
        <v>0</v>
      </c>
      <c r="R204" s="392">
        <f t="shared" si="57"/>
        <v>775</v>
      </c>
      <c r="S204" s="392">
        <f t="shared" si="57"/>
        <v>0</v>
      </c>
      <c r="U204" s="392">
        <f t="shared" si="52"/>
        <v>0</v>
      </c>
      <c r="V204" s="392">
        <f t="shared" si="52"/>
        <v>0</v>
      </c>
      <c r="W204" s="392">
        <f t="shared" si="52"/>
        <v>0</v>
      </c>
      <c r="X204" s="392">
        <f t="shared" si="52"/>
        <v>775</v>
      </c>
      <c r="Y204" s="392">
        <f t="shared" si="52"/>
        <v>0</v>
      </c>
      <c r="AA204" s="392">
        <f t="shared" si="53"/>
        <v>0</v>
      </c>
      <c r="AB204" s="392">
        <f t="shared" si="53"/>
        <v>0</v>
      </c>
      <c r="AC204" s="392">
        <f t="shared" si="53"/>
        <v>0</v>
      </c>
      <c r="AD204" s="392">
        <f t="shared" si="53"/>
        <v>0</v>
      </c>
      <c r="AE204" s="392">
        <f t="shared" si="53"/>
        <v>0</v>
      </c>
      <c r="AG204" s="409">
        <f t="shared" si="58"/>
        <v>0</v>
      </c>
      <c r="AH204" s="409">
        <f t="shared" si="58"/>
        <v>0</v>
      </c>
      <c r="AI204" s="409">
        <f t="shared" si="58"/>
        <v>0</v>
      </c>
      <c r="AJ204" s="409">
        <f t="shared" si="58"/>
        <v>1</v>
      </c>
      <c r="AK204" s="409">
        <f t="shared" si="58"/>
        <v>0</v>
      </c>
      <c r="AN204" s="391">
        <v>775</v>
      </c>
      <c r="AO204" s="423">
        <f t="shared" si="49"/>
        <v>0</v>
      </c>
    </row>
    <row r="205" spans="1:41">
      <c r="A205" s="391" t="s">
        <v>632</v>
      </c>
      <c r="B205" s="408">
        <v>36646</v>
      </c>
      <c r="C205" s="391" t="s">
        <v>934</v>
      </c>
      <c r="D205" s="391" t="s">
        <v>936</v>
      </c>
      <c r="E205" s="391" t="s">
        <v>539</v>
      </c>
      <c r="F205" s="391" t="s">
        <v>540</v>
      </c>
      <c r="G205" s="391">
        <v>8</v>
      </c>
      <c r="H205" s="392">
        <v>775</v>
      </c>
      <c r="I205" s="392">
        <v>775</v>
      </c>
      <c r="J205" s="392">
        <v>0</v>
      </c>
      <c r="K205" s="391" t="s">
        <v>515</v>
      </c>
      <c r="L205" s="391" t="s">
        <v>515</v>
      </c>
      <c r="O205" s="392">
        <f t="shared" si="57"/>
        <v>0</v>
      </c>
      <c r="P205" s="392">
        <f t="shared" si="57"/>
        <v>0</v>
      </c>
      <c r="Q205" s="392">
        <f t="shared" si="57"/>
        <v>0</v>
      </c>
      <c r="R205" s="392">
        <f t="shared" si="57"/>
        <v>775</v>
      </c>
      <c r="S205" s="392">
        <f t="shared" si="57"/>
        <v>0</v>
      </c>
      <c r="U205" s="392">
        <f t="shared" si="52"/>
        <v>0</v>
      </c>
      <c r="V205" s="392">
        <f t="shared" si="52"/>
        <v>0</v>
      </c>
      <c r="W205" s="392">
        <f t="shared" si="52"/>
        <v>0</v>
      </c>
      <c r="X205" s="392">
        <f t="shared" si="52"/>
        <v>775</v>
      </c>
      <c r="Y205" s="392">
        <f t="shared" si="52"/>
        <v>0</v>
      </c>
      <c r="AA205" s="392">
        <f t="shared" si="53"/>
        <v>0</v>
      </c>
      <c r="AB205" s="392">
        <f t="shared" si="53"/>
        <v>0</v>
      </c>
      <c r="AC205" s="392">
        <f t="shared" si="53"/>
        <v>0</v>
      </c>
      <c r="AD205" s="392">
        <f t="shared" si="53"/>
        <v>0</v>
      </c>
      <c r="AE205" s="392">
        <f t="shared" si="53"/>
        <v>0</v>
      </c>
      <c r="AG205" s="409">
        <f t="shared" si="58"/>
        <v>0</v>
      </c>
      <c r="AH205" s="409">
        <f t="shared" si="58"/>
        <v>0</v>
      </c>
      <c r="AI205" s="409">
        <f t="shared" si="58"/>
        <v>0</v>
      </c>
      <c r="AJ205" s="409">
        <f t="shared" si="58"/>
        <v>1</v>
      </c>
      <c r="AK205" s="409">
        <f t="shared" si="58"/>
        <v>0</v>
      </c>
      <c r="AN205" s="391">
        <v>775</v>
      </c>
      <c r="AO205" s="423">
        <f t="shared" si="49"/>
        <v>0</v>
      </c>
    </row>
    <row r="206" spans="1:41">
      <c r="A206" s="391" t="s">
        <v>567</v>
      </c>
      <c r="B206" s="408">
        <v>36677</v>
      </c>
      <c r="C206" s="391" t="s">
        <v>937</v>
      </c>
      <c r="D206" s="391" t="s">
        <v>938</v>
      </c>
      <c r="E206" s="391" t="s">
        <v>539</v>
      </c>
      <c r="F206" s="391" t="s">
        <v>540</v>
      </c>
      <c r="G206" s="391">
        <v>30</v>
      </c>
      <c r="H206" s="392">
        <v>76123.87</v>
      </c>
      <c r="I206" s="392">
        <v>38061.919999999998</v>
      </c>
      <c r="J206" s="392">
        <v>2537.46</v>
      </c>
      <c r="K206" s="391" t="s">
        <v>505</v>
      </c>
      <c r="L206" s="391" t="s">
        <v>505</v>
      </c>
      <c r="O206" s="392">
        <f t="shared" si="57"/>
        <v>0</v>
      </c>
      <c r="P206" s="392">
        <f t="shared" si="57"/>
        <v>0</v>
      </c>
      <c r="Q206" s="392">
        <f t="shared" si="57"/>
        <v>76123.87</v>
      </c>
      <c r="R206" s="392">
        <f t="shared" si="57"/>
        <v>0</v>
      </c>
      <c r="S206" s="392">
        <f t="shared" si="57"/>
        <v>0</v>
      </c>
      <c r="U206" s="392">
        <f t="shared" si="52"/>
        <v>0</v>
      </c>
      <c r="V206" s="392">
        <f t="shared" si="52"/>
        <v>0</v>
      </c>
      <c r="W206" s="392">
        <f t="shared" si="52"/>
        <v>38061.919999999998</v>
      </c>
      <c r="X206" s="392">
        <f t="shared" si="52"/>
        <v>0</v>
      </c>
      <c r="Y206" s="392">
        <f t="shared" si="52"/>
        <v>0</v>
      </c>
      <c r="AA206" s="392">
        <f t="shared" si="53"/>
        <v>0</v>
      </c>
      <c r="AB206" s="392">
        <f t="shared" si="53"/>
        <v>0</v>
      </c>
      <c r="AC206" s="392">
        <f t="shared" si="53"/>
        <v>2537.46</v>
      </c>
      <c r="AD206" s="392">
        <f t="shared" si="53"/>
        <v>0</v>
      </c>
      <c r="AE206" s="392">
        <f t="shared" si="53"/>
        <v>0</v>
      </c>
      <c r="AG206" s="409">
        <f t="shared" si="58"/>
        <v>0</v>
      </c>
      <c r="AH206" s="409">
        <f t="shared" si="58"/>
        <v>0</v>
      </c>
      <c r="AI206" s="409">
        <f t="shared" si="58"/>
        <v>1</v>
      </c>
      <c r="AJ206" s="409">
        <f t="shared" si="58"/>
        <v>0</v>
      </c>
      <c r="AK206" s="409">
        <f t="shared" si="58"/>
        <v>0</v>
      </c>
      <c r="AN206" s="391">
        <v>76123.87</v>
      </c>
      <c r="AO206" s="423">
        <f t="shared" si="49"/>
        <v>0</v>
      </c>
    </row>
    <row r="207" spans="1:41">
      <c r="A207" s="391" t="s">
        <v>646</v>
      </c>
      <c r="B207" s="408">
        <v>36707</v>
      </c>
      <c r="C207" s="391" t="s">
        <v>939</v>
      </c>
      <c r="D207" s="391" t="s">
        <v>940</v>
      </c>
      <c r="E207" s="391" t="s">
        <v>539</v>
      </c>
      <c r="F207" s="391" t="s">
        <v>540</v>
      </c>
      <c r="G207" s="391">
        <v>5</v>
      </c>
      <c r="H207" s="392">
        <v>3286.1</v>
      </c>
      <c r="I207" s="392">
        <v>3286.1</v>
      </c>
      <c r="J207" s="392">
        <v>0</v>
      </c>
      <c r="K207" s="391" t="s">
        <v>515</v>
      </c>
      <c r="L207" s="391" t="s">
        <v>515</v>
      </c>
      <c r="O207" s="392">
        <f t="shared" si="57"/>
        <v>0</v>
      </c>
      <c r="P207" s="392">
        <f t="shared" si="57"/>
        <v>0</v>
      </c>
      <c r="Q207" s="392">
        <f t="shared" si="57"/>
        <v>0</v>
      </c>
      <c r="R207" s="392">
        <f t="shared" si="57"/>
        <v>3286.1</v>
      </c>
      <c r="S207" s="392">
        <f t="shared" si="57"/>
        <v>0</v>
      </c>
      <c r="U207" s="392">
        <f t="shared" si="52"/>
        <v>0</v>
      </c>
      <c r="V207" s="392">
        <f t="shared" si="52"/>
        <v>0</v>
      </c>
      <c r="W207" s="392">
        <f t="shared" si="52"/>
        <v>0</v>
      </c>
      <c r="X207" s="392">
        <f t="shared" si="52"/>
        <v>3286.1</v>
      </c>
      <c r="Y207" s="392">
        <f t="shared" si="52"/>
        <v>0</v>
      </c>
      <c r="AA207" s="392">
        <f t="shared" si="53"/>
        <v>0</v>
      </c>
      <c r="AB207" s="392">
        <f t="shared" si="53"/>
        <v>0</v>
      </c>
      <c r="AC207" s="392">
        <f t="shared" si="53"/>
        <v>0</v>
      </c>
      <c r="AD207" s="392">
        <f t="shared" si="53"/>
        <v>0</v>
      </c>
      <c r="AE207" s="392">
        <f t="shared" si="53"/>
        <v>0</v>
      </c>
      <c r="AG207" s="409">
        <f t="shared" si="58"/>
        <v>0</v>
      </c>
      <c r="AH207" s="409">
        <f t="shared" si="58"/>
        <v>0</v>
      </c>
      <c r="AI207" s="409">
        <f t="shared" si="58"/>
        <v>0</v>
      </c>
      <c r="AJ207" s="409">
        <f t="shared" si="58"/>
        <v>1</v>
      </c>
      <c r="AK207" s="409">
        <f t="shared" si="58"/>
        <v>0</v>
      </c>
      <c r="AN207" s="391">
        <v>3286.1</v>
      </c>
      <c r="AO207" s="423">
        <f t="shared" si="49"/>
        <v>0</v>
      </c>
    </row>
    <row r="208" spans="1:41">
      <c r="A208" s="391" t="s">
        <v>632</v>
      </c>
      <c r="B208" s="408">
        <v>36707</v>
      </c>
      <c r="C208" s="391" t="s">
        <v>941</v>
      </c>
      <c r="D208" s="391" t="s">
        <v>942</v>
      </c>
      <c r="E208" s="391" t="s">
        <v>539</v>
      </c>
      <c r="F208" s="391" t="s">
        <v>540</v>
      </c>
      <c r="G208" s="391">
        <v>5</v>
      </c>
      <c r="H208" s="392">
        <v>6629.7</v>
      </c>
      <c r="I208" s="392">
        <v>6629.7</v>
      </c>
      <c r="J208" s="392">
        <v>0</v>
      </c>
      <c r="K208" s="391" t="s">
        <v>515</v>
      </c>
      <c r="L208" s="391" t="s">
        <v>515</v>
      </c>
      <c r="O208" s="392">
        <f t="shared" ref="O208:S217" si="59">IF(O$8=$K208,$H208,0)</f>
        <v>0</v>
      </c>
      <c r="P208" s="392">
        <f t="shared" si="59"/>
        <v>0</v>
      </c>
      <c r="Q208" s="392">
        <f t="shared" si="59"/>
        <v>0</v>
      </c>
      <c r="R208" s="392">
        <f t="shared" si="59"/>
        <v>6629.7</v>
      </c>
      <c r="S208" s="392">
        <f t="shared" si="59"/>
        <v>0</v>
      </c>
      <c r="U208" s="392">
        <f t="shared" si="52"/>
        <v>0</v>
      </c>
      <c r="V208" s="392">
        <f t="shared" si="52"/>
        <v>0</v>
      </c>
      <c r="W208" s="392">
        <f t="shared" si="52"/>
        <v>0</v>
      </c>
      <c r="X208" s="392">
        <f t="shared" si="52"/>
        <v>6629.7</v>
      </c>
      <c r="Y208" s="392">
        <f t="shared" si="52"/>
        <v>0</v>
      </c>
      <c r="AA208" s="392">
        <f t="shared" si="53"/>
        <v>0</v>
      </c>
      <c r="AB208" s="392">
        <f t="shared" si="53"/>
        <v>0</v>
      </c>
      <c r="AC208" s="392">
        <f t="shared" si="53"/>
        <v>0</v>
      </c>
      <c r="AD208" s="392">
        <f t="shared" si="53"/>
        <v>0</v>
      </c>
      <c r="AE208" s="392">
        <f t="shared" si="53"/>
        <v>0</v>
      </c>
      <c r="AG208" s="409">
        <f t="shared" si="58"/>
        <v>0</v>
      </c>
      <c r="AH208" s="409">
        <f t="shared" si="58"/>
        <v>0</v>
      </c>
      <c r="AI208" s="409">
        <f t="shared" si="58"/>
        <v>0</v>
      </c>
      <c r="AJ208" s="409">
        <f t="shared" si="58"/>
        <v>1</v>
      </c>
      <c r="AK208" s="409">
        <f t="shared" si="58"/>
        <v>0</v>
      </c>
      <c r="AN208" s="391">
        <v>6629.7</v>
      </c>
      <c r="AO208" s="423">
        <f t="shared" si="49"/>
        <v>0</v>
      </c>
    </row>
    <row r="209" spans="1:41">
      <c r="A209" s="391" t="s">
        <v>632</v>
      </c>
      <c r="B209" s="408">
        <v>36721</v>
      </c>
      <c r="C209" s="391" t="s">
        <v>943</v>
      </c>
      <c r="D209" s="391" t="s">
        <v>944</v>
      </c>
      <c r="E209" s="391" t="s">
        <v>539</v>
      </c>
      <c r="F209" s="391" t="s">
        <v>540</v>
      </c>
      <c r="G209" s="391">
        <v>5</v>
      </c>
      <c r="H209" s="392">
        <v>1180.3</v>
      </c>
      <c r="I209" s="392">
        <v>1180.3</v>
      </c>
      <c r="J209" s="392">
        <v>0</v>
      </c>
      <c r="K209" s="391" t="s">
        <v>515</v>
      </c>
      <c r="L209" s="391" t="s">
        <v>515</v>
      </c>
      <c r="O209" s="392">
        <f t="shared" si="59"/>
        <v>0</v>
      </c>
      <c r="P209" s="392">
        <f t="shared" si="59"/>
        <v>0</v>
      </c>
      <c r="Q209" s="392">
        <f t="shared" si="59"/>
        <v>0</v>
      </c>
      <c r="R209" s="392">
        <f t="shared" si="59"/>
        <v>1180.3</v>
      </c>
      <c r="S209" s="392">
        <f t="shared" si="59"/>
        <v>0</v>
      </c>
      <c r="U209" s="392">
        <f t="shared" si="52"/>
        <v>0</v>
      </c>
      <c r="V209" s="392">
        <f t="shared" si="52"/>
        <v>0</v>
      </c>
      <c r="W209" s="392">
        <f t="shared" si="52"/>
        <v>0</v>
      </c>
      <c r="X209" s="392">
        <f t="shared" si="52"/>
        <v>1180.3</v>
      </c>
      <c r="Y209" s="392">
        <f t="shared" si="52"/>
        <v>0</v>
      </c>
      <c r="AA209" s="392">
        <f t="shared" si="53"/>
        <v>0</v>
      </c>
      <c r="AB209" s="392">
        <f t="shared" si="53"/>
        <v>0</v>
      </c>
      <c r="AC209" s="392">
        <f t="shared" si="53"/>
        <v>0</v>
      </c>
      <c r="AD209" s="392">
        <f t="shared" si="53"/>
        <v>0</v>
      </c>
      <c r="AE209" s="392">
        <f t="shared" si="53"/>
        <v>0</v>
      </c>
      <c r="AG209" s="409">
        <f t="shared" si="58"/>
        <v>0</v>
      </c>
      <c r="AH209" s="409">
        <f t="shared" si="58"/>
        <v>0</v>
      </c>
      <c r="AI209" s="409">
        <f t="shared" si="58"/>
        <v>0</v>
      </c>
      <c r="AJ209" s="409">
        <f t="shared" si="58"/>
        <v>1</v>
      </c>
      <c r="AK209" s="409">
        <f t="shared" si="58"/>
        <v>0</v>
      </c>
      <c r="AN209" s="391">
        <v>1180.3</v>
      </c>
      <c r="AO209" s="423">
        <f t="shared" si="49"/>
        <v>0</v>
      </c>
    </row>
    <row r="210" spans="1:41">
      <c r="A210" s="391" t="s">
        <v>632</v>
      </c>
      <c r="B210" s="408">
        <v>36819</v>
      </c>
      <c r="C210" s="391" t="s">
        <v>945</v>
      </c>
      <c r="D210" s="391" t="s">
        <v>946</v>
      </c>
      <c r="E210" s="391" t="s">
        <v>539</v>
      </c>
      <c r="F210" s="391" t="s">
        <v>540</v>
      </c>
      <c r="G210" s="391">
        <v>5</v>
      </c>
      <c r="H210" s="392">
        <v>806.22</v>
      </c>
      <c r="I210" s="392">
        <v>806.22</v>
      </c>
      <c r="J210" s="392">
        <v>0</v>
      </c>
      <c r="K210" s="391" t="s">
        <v>515</v>
      </c>
      <c r="L210" s="391" t="s">
        <v>515</v>
      </c>
      <c r="O210" s="392">
        <f t="shared" si="59"/>
        <v>0</v>
      </c>
      <c r="P210" s="392">
        <f t="shared" si="59"/>
        <v>0</v>
      </c>
      <c r="Q210" s="392">
        <f t="shared" si="59"/>
        <v>0</v>
      </c>
      <c r="R210" s="392">
        <f t="shared" si="59"/>
        <v>806.22</v>
      </c>
      <c r="S210" s="392">
        <f t="shared" si="59"/>
        <v>0</v>
      </c>
      <c r="U210" s="392">
        <f t="shared" si="52"/>
        <v>0</v>
      </c>
      <c r="V210" s="392">
        <f t="shared" si="52"/>
        <v>0</v>
      </c>
      <c r="W210" s="392">
        <f t="shared" si="52"/>
        <v>0</v>
      </c>
      <c r="X210" s="392">
        <f t="shared" si="52"/>
        <v>806.22</v>
      </c>
      <c r="Y210" s="392">
        <f t="shared" si="52"/>
        <v>0</v>
      </c>
      <c r="AA210" s="392">
        <f t="shared" si="53"/>
        <v>0</v>
      </c>
      <c r="AB210" s="392">
        <f t="shared" si="53"/>
        <v>0</v>
      </c>
      <c r="AC210" s="392">
        <f t="shared" si="53"/>
        <v>0</v>
      </c>
      <c r="AD210" s="392">
        <f t="shared" si="53"/>
        <v>0</v>
      </c>
      <c r="AE210" s="392">
        <f t="shared" si="53"/>
        <v>0</v>
      </c>
      <c r="AG210" s="409">
        <f t="shared" si="58"/>
        <v>0</v>
      </c>
      <c r="AH210" s="409">
        <f t="shared" si="58"/>
        <v>0</v>
      </c>
      <c r="AI210" s="409">
        <f t="shared" si="58"/>
        <v>0</v>
      </c>
      <c r="AJ210" s="409">
        <f t="shared" si="58"/>
        <v>1</v>
      </c>
      <c r="AK210" s="409">
        <f t="shared" si="58"/>
        <v>0</v>
      </c>
      <c r="AN210" s="391">
        <v>806.22</v>
      </c>
      <c r="AO210" s="423">
        <f t="shared" si="49"/>
        <v>0</v>
      </c>
    </row>
    <row r="211" spans="1:41">
      <c r="A211" s="391" t="s">
        <v>632</v>
      </c>
      <c r="B211" s="408">
        <v>36819</v>
      </c>
      <c r="C211" s="391" t="s">
        <v>947</v>
      </c>
      <c r="D211" s="391" t="s">
        <v>948</v>
      </c>
      <c r="E211" s="391" t="s">
        <v>539</v>
      </c>
      <c r="F211" s="391" t="s">
        <v>540</v>
      </c>
      <c r="G211" s="391">
        <v>5</v>
      </c>
      <c r="H211" s="392">
        <v>2808.01</v>
      </c>
      <c r="I211" s="392">
        <v>2808.01</v>
      </c>
      <c r="J211" s="392">
        <v>0</v>
      </c>
      <c r="K211" s="391" t="s">
        <v>515</v>
      </c>
      <c r="L211" s="391" t="s">
        <v>515</v>
      </c>
      <c r="O211" s="392">
        <f t="shared" si="59"/>
        <v>0</v>
      </c>
      <c r="P211" s="392">
        <f t="shared" si="59"/>
        <v>0</v>
      </c>
      <c r="Q211" s="392">
        <f t="shared" si="59"/>
        <v>0</v>
      </c>
      <c r="R211" s="392">
        <f t="shared" si="59"/>
        <v>2808.01</v>
      </c>
      <c r="S211" s="392">
        <f t="shared" si="59"/>
        <v>0</v>
      </c>
      <c r="U211" s="392">
        <f t="shared" si="52"/>
        <v>0</v>
      </c>
      <c r="V211" s="392">
        <f t="shared" si="52"/>
        <v>0</v>
      </c>
      <c r="W211" s="392">
        <f t="shared" si="52"/>
        <v>0</v>
      </c>
      <c r="X211" s="392">
        <f t="shared" si="52"/>
        <v>2808.01</v>
      </c>
      <c r="Y211" s="392">
        <f t="shared" si="52"/>
        <v>0</v>
      </c>
      <c r="AA211" s="392">
        <f t="shared" si="53"/>
        <v>0</v>
      </c>
      <c r="AB211" s="392">
        <f t="shared" si="53"/>
        <v>0</v>
      </c>
      <c r="AC211" s="392">
        <f t="shared" si="53"/>
        <v>0</v>
      </c>
      <c r="AD211" s="392">
        <f t="shared" si="53"/>
        <v>0</v>
      </c>
      <c r="AE211" s="392">
        <f t="shared" si="53"/>
        <v>0</v>
      </c>
      <c r="AG211" s="409">
        <f t="shared" si="58"/>
        <v>0</v>
      </c>
      <c r="AH211" s="409">
        <f t="shared" si="58"/>
        <v>0</v>
      </c>
      <c r="AI211" s="409">
        <f t="shared" si="58"/>
        <v>0</v>
      </c>
      <c r="AJ211" s="409">
        <f t="shared" si="58"/>
        <v>1</v>
      </c>
      <c r="AK211" s="409">
        <f t="shared" si="58"/>
        <v>0</v>
      </c>
      <c r="AN211" s="391">
        <v>2808.01</v>
      </c>
      <c r="AO211" s="423">
        <f t="shared" si="49"/>
        <v>0</v>
      </c>
    </row>
    <row r="212" spans="1:41">
      <c r="A212" s="391" t="s">
        <v>632</v>
      </c>
      <c r="B212" s="408">
        <v>36875</v>
      </c>
      <c r="C212" s="391" t="s">
        <v>949</v>
      </c>
      <c r="D212" s="391" t="s">
        <v>950</v>
      </c>
      <c r="E212" s="391" t="s">
        <v>539</v>
      </c>
      <c r="F212" s="391" t="s">
        <v>540</v>
      </c>
      <c r="G212" s="391">
        <v>5</v>
      </c>
      <c r="H212" s="392">
        <v>4250</v>
      </c>
      <c r="I212" s="392">
        <v>4250</v>
      </c>
      <c r="J212" s="392">
        <v>0</v>
      </c>
      <c r="K212" s="391" t="s">
        <v>515</v>
      </c>
      <c r="L212" s="391" t="s">
        <v>515</v>
      </c>
      <c r="O212" s="392">
        <f t="shared" si="59"/>
        <v>0</v>
      </c>
      <c r="P212" s="392">
        <f t="shared" si="59"/>
        <v>0</v>
      </c>
      <c r="Q212" s="392">
        <f t="shared" si="59"/>
        <v>0</v>
      </c>
      <c r="R212" s="392">
        <f t="shared" si="59"/>
        <v>4250</v>
      </c>
      <c r="S212" s="392">
        <f t="shared" si="59"/>
        <v>0</v>
      </c>
      <c r="U212" s="392">
        <f t="shared" si="52"/>
        <v>0</v>
      </c>
      <c r="V212" s="392">
        <f t="shared" si="52"/>
        <v>0</v>
      </c>
      <c r="W212" s="392">
        <f t="shared" si="52"/>
        <v>0</v>
      </c>
      <c r="X212" s="392">
        <f t="shared" si="52"/>
        <v>4250</v>
      </c>
      <c r="Y212" s="392">
        <f t="shared" si="52"/>
        <v>0</v>
      </c>
      <c r="AA212" s="392">
        <f t="shared" si="53"/>
        <v>0</v>
      </c>
      <c r="AB212" s="392">
        <f t="shared" si="53"/>
        <v>0</v>
      </c>
      <c r="AC212" s="392">
        <f t="shared" si="53"/>
        <v>0</v>
      </c>
      <c r="AD212" s="392">
        <f t="shared" si="53"/>
        <v>0</v>
      </c>
      <c r="AE212" s="392">
        <f t="shared" si="53"/>
        <v>0</v>
      </c>
      <c r="AG212" s="409">
        <f t="shared" si="58"/>
        <v>0</v>
      </c>
      <c r="AH212" s="409">
        <f t="shared" si="58"/>
        <v>0</v>
      </c>
      <c r="AI212" s="409">
        <f t="shared" si="58"/>
        <v>0</v>
      </c>
      <c r="AJ212" s="409">
        <f t="shared" si="58"/>
        <v>1</v>
      </c>
      <c r="AK212" s="409">
        <f t="shared" si="58"/>
        <v>0</v>
      </c>
      <c r="AN212" s="391">
        <v>4250</v>
      </c>
      <c r="AO212" s="423">
        <f t="shared" si="49"/>
        <v>0</v>
      </c>
    </row>
    <row r="213" spans="1:41">
      <c r="A213" s="391" t="s">
        <v>632</v>
      </c>
      <c r="B213" s="408">
        <v>36945</v>
      </c>
      <c r="C213" s="391" t="s">
        <v>951</v>
      </c>
      <c r="D213" s="391" t="s">
        <v>952</v>
      </c>
      <c r="E213" s="391" t="s">
        <v>539</v>
      </c>
      <c r="F213" s="391" t="s">
        <v>540</v>
      </c>
      <c r="G213" s="391">
        <v>5</v>
      </c>
      <c r="H213" s="392">
        <v>2283.3000000000002</v>
      </c>
      <c r="I213" s="392">
        <v>2283.3000000000002</v>
      </c>
      <c r="J213" s="392">
        <v>0</v>
      </c>
      <c r="K213" s="391" t="s">
        <v>515</v>
      </c>
      <c r="L213" s="391" t="s">
        <v>515</v>
      </c>
      <c r="O213" s="392">
        <f t="shared" si="59"/>
        <v>0</v>
      </c>
      <c r="P213" s="392">
        <f t="shared" si="59"/>
        <v>0</v>
      </c>
      <c r="Q213" s="392">
        <f t="shared" si="59"/>
        <v>0</v>
      </c>
      <c r="R213" s="392">
        <f t="shared" si="59"/>
        <v>2283.3000000000002</v>
      </c>
      <c r="S213" s="392">
        <f t="shared" si="59"/>
        <v>0</v>
      </c>
      <c r="U213" s="392">
        <f t="shared" si="52"/>
        <v>0</v>
      </c>
      <c r="V213" s="392">
        <f t="shared" si="52"/>
        <v>0</v>
      </c>
      <c r="W213" s="392">
        <f t="shared" si="52"/>
        <v>0</v>
      </c>
      <c r="X213" s="392">
        <f t="shared" si="52"/>
        <v>2283.3000000000002</v>
      </c>
      <c r="Y213" s="392">
        <f t="shared" si="52"/>
        <v>0</v>
      </c>
      <c r="AA213" s="392">
        <f t="shared" si="53"/>
        <v>0</v>
      </c>
      <c r="AB213" s="392">
        <f t="shared" si="53"/>
        <v>0</v>
      </c>
      <c r="AC213" s="392">
        <f t="shared" si="53"/>
        <v>0</v>
      </c>
      <c r="AD213" s="392">
        <f t="shared" si="53"/>
        <v>0</v>
      </c>
      <c r="AE213" s="392">
        <f t="shared" si="53"/>
        <v>0</v>
      </c>
      <c r="AG213" s="409">
        <f t="shared" si="58"/>
        <v>0</v>
      </c>
      <c r="AH213" s="409">
        <f t="shared" si="58"/>
        <v>0</v>
      </c>
      <c r="AI213" s="409">
        <f t="shared" si="58"/>
        <v>0</v>
      </c>
      <c r="AJ213" s="409">
        <f t="shared" si="58"/>
        <v>1</v>
      </c>
      <c r="AK213" s="409">
        <f t="shared" si="58"/>
        <v>0</v>
      </c>
      <c r="AN213" s="391">
        <v>2283.3000000000002</v>
      </c>
      <c r="AO213" s="423">
        <f t="shared" si="49"/>
        <v>0</v>
      </c>
    </row>
    <row r="214" spans="1:41">
      <c r="A214" s="391" t="s">
        <v>632</v>
      </c>
      <c r="B214" s="408">
        <v>36973</v>
      </c>
      <c r="C214" s="391" t="s">
        <v>953</v>
      </c>
      <c r="D214" s="391" t="s">
        <v>954</v>
      </c>
      <c r="E214" s="391" t="s">
        <v>539</v>
      </c>
      <c r="F214" s="391" t="s">
        <v>540</v>
      </c>
      <c r="G214" s="391">
        <v>5</v>
      </c>
      <c r="H214" s="392">
        <v>2666.5</v>
      </c>
      <c r="I214" s="392">
        <v>2666.5</v>
      </c>
      <c r="J214" s="392">
        <v>0</v>
      </c>
      <c r="K214" s="391" t="s">
        <v>515</v>
      </c>
      <c r="L214" s="391" t="s">
        <v>515</v>
      </c>
      <c r="O214" s="392">
        <f t="shared" si="59"/>
        <v>0</v>
      </c>
      <c r="P214" s="392">
        <f t="shared" si="59"/>
        <v>0</v>
      </c>
      <c r="Q214" s="392">
        <f t="shared" si="59"/>
        <v>0</v>
      </c>
      <c r="R214" s="392">
        <f t="shared" si="59"/>
        <v>2666.5</v>
      </c>
      <c r="S214" s="392">
        <f t="shared" si="59"/>
        <v>0</v>
      </c>
      <c r="U214" s="392">
        <f t="shared" si="52"/>
        <v>0</v>
      </c>
      <c r="V214" s="392">
        <f t="shared" si="52"/>
        <v>0</v>
      </c>
      <c r="W214" s="392">
        <f t="shared" si="52"/>
        <v>0</v>
      </c>
      <c r="X214" s="392">
        <f t="shared" si="52"/>
        <v>2666.5</v>
      </c>
      <c r="Y214" s="392">
        <f t="shared" si="52"/>
        <v>0</v>
      </c>
      <c r="AA214" s="392">
        <f t="shared" si="53"/>
        <v>0</v>
      </c>
      <c r="AB214" s="392">
        <f t="shared" si="53"/>
        <v>0</v>
      </c>
      <c r="AC214" s="392">
        <f t="shared" si="53"/>
        <v>0</v>
      </c>
      <c r="AD214" s="392">
        <f t="shared" si="53"/>
        <v>0</v>
      </c>
      <c r="AE214" s="392">
        <f t="shared" si="53"/>
        <v>0</v>
      </c>
      <c r="AG214" s="409">
        <f t="shared" si="58"/>
        <v>0</v>
      </c>
      <c r="AH214" s="409">
        <f t="shared" si="58"/>
        <v>0</v>
      </c>
      <c r="AI214" s="409">
        <f t="shared" si="58"/>
        <v>0</v>
      </c>
      <c r="AJ214" s="409">
        <f t="shared" si="58"/>
        <v>1</v>
      </c>
      <c r="AK214" s="409">
        <f t="shared" si="58"/>
        <v>0</v>
      </c>
      <c r="AN214" s="391">
        <v>2666.5</v>
      </c>
      <c r="AO214" s="423">
        <f t="shared" si="49"/>
        <v>0</v>
      </c>
    </row>
    <row r="215" spans="1:41">
      <c r="A215" s="391" t="s">
        <v>616</v>
      </c>
      <c r="B215" s="408">
        <v>37011</v>
      </c>
      <c r="C215" s="391" t="s">
        <v>955</v>
      </c>
      <c r="D215" s="391" t="s">
        <v>956</v>
      </c>
      <c r="E215" s="391" t="s">
        <v>539</v>
      </c>
      <c r="F215" s="391" t="s">
        <v>540</v>
      </c>
      <c r="G215" s="391">
        <v>25</v>
      </c>
      <c r="H215" s="392">
        <v>39714.32</v>
      </c>
      <c r="I215" s="392">
        <v>23828.57</v>
      </c>
      <c r="J215" s="392">
        <v>1588.57</v>
      </c>
      <c r="K215" s="391" t="s">
        <v>505</v>
      </c>
      <c r="L215" s="391" t="s">
        <v>505</v>
      </c>
      <c r="O215" s="392">
        <f t="shared" si="59"/>
        <v>0</v>
      </c>
      <c r="P215" s="392">
        <f t="shared" si="59"/>
        <v>0</v>
      </c>
      <c r="Q215" s="392">
        <f t="shared" si="59"/>
        <v>39714.32</v>
      </c>
      <c r="R215" s="392">
        <f t="shared" si="59"/>
        <v>0</v>
      </c>
      <c r="S215" s="392">
        <f t="shared" si="59"/>
        <v>0</v>
      </c>
      <c r="U215" s="392">
        <f t="shared" si="52"/>
        <v>0</v>
      </c>
      <c r="V215" s="392">
        <f t="shared" si="52"/>
        <v>0</v>
      </c>
      <c r="W215" s="392">
        <f t="shared" si="52"/>
        <v>23828.57</v>
      </c>
      <c r="X215" s="392">
        <f t="shared" si="52"/>
        <v>0</v>
      </c>
      <c r="Y215" s="392">
        <f t="shared" si="52"/>
        <v>0</v>
      </c>
      <c r="AA215" s="392">
        <f t="shared" si="53"/>
        <v>0</v>
      </c>
      <c r="AB215" s="392">
        <f t="shared" si="53"/>
        <v>0</v>
      </c>
      <c r="AC215" s="392">
        <f t="shared" si="53"/>
        <v>1588.57</v>
      </c>
      <c r="AD215" s="392">
        <f t="shared" si="53"/>
        <v>0</v>
      </c>
      <c r="AE215" s="392">
        <f t="shared" si="53"/>
        <v>0</v>
      </c>
      <c r="AG215" s="409">
        <f t="shared" si="58"/>
        <v>0</v>
      </c>
      <c r="AH215" s="409">
        <f t="shared" si="58"/>
        <v>0</v>
      </c>
      <c r="AI215" s="409">
        <f t="shared" si="58"/>
        <v>1</v>
      </c>
      <c r="AJ215" s="409">
        <f t="shared" si="58"/>
        <v>0</v>
      </c>
      <c r="AK215" s="409">
        <f t="shared" si="58"/>
        <v>0</v>
      </c>
      <c r="AN215" s="391">
        <v>39714.32</v>
      </c>
      <c r="AO215" s="423">
        <f t="shared" si="49"/>
        <v>0</v>
      </c>
    </row>
    <row r="216" spans="1:41">
      <c r="A216" s="391" t="s">
        <v>592</v>
      </c>
      <c r="B216" s="408">
        <v>37011</v>
      </c>
      <c r="C216" s="391" t="s">
        <v>957</v>
      </c>
      <c r="D216" s="391" t="s">
        <v>958</v>
      </c>
      <c r="E216" s="391" t="s">
        <v>539</v>
      </c>
      <c r="F216" s="391" t="s">
        <v>540</v>
      </c>
      <c r="G216" s="391">
        <v>30</v>
      </c>
      <c r="H216" s="392">
        <v>35485.5</v>
      </c>
      <c r="I216" s="392">
        <v>17742.75</v>
      </c>
      <c r="J216" s="392">
        <v>1182.8499999999999</v>
      </c>
      <c r="K216" s="391" t="s">
        <v>505</v>
      </c>
      <c r="L216" s="391" t="s">
        <v>505</v>
      </c>
      <c r="O216" s="392">
        <f t="shared" si="59"/>
        <v>0</v>
      </c>
      <c r="P216" s="392">
        <f t="shared" si="59"/>
        <v>0</v>
      </c>
      <c r="Q216" s="392">
        <f t="shared" si="59"/>
        <v>35485.5</v>
      </c>
      <c r="R216" s="392">
        <f t="shared" si="59"/>
        <v>0</v>
      </c>
      <c r="S216" s="392">
        <f t="shared" si="59"/>
        <v>0</v>
      </c>
      <c r="U216" s="392">
        <f t="shared" si="52"/>
        <v>0</v>
      </c>
      <c r="V216" s="392">
        <f t="shared" si="52"/>
        <v>0</v>
      </c>
      <c r="W216" s="392">
        <f t="shared" si="52"/>
        <v>17742.75</v>
      </c>
      <c r="X216" s="392">
        <f t="shared" si="52"/>
        <v>0</v>
      </c>
      <c r="Y216" s="392">
        <f t="shared" si="52"/>
        <v>0</v>
      </c>
      <c r="AA216" s="392">
        <f t="shared" si="53"/>
        <v>0</v>
      </c>
      <c r="AB216" s="392">
        <f t="shared" si="53"/>
        <v>0</v>
      </c>
      <c r="AC216" s="392">
        <f t="shared" si="53"/>
        <v>1182.8499999999999</v>
      </c>
      <c r="AD216" s="392">
        <f t="shared" si="53"/>
        <v>0</v>
      </c>
      <c r="AE216" s="392">
        <f t="shared" si="53"/>
        <v>0</v>
      </c>
      <c r="AG216" s="409">
        <f t="shared" si="58"/>
        <v>0</v>
      </c>
      <c r="AH216" s="409">
        <f t="shared" si="58"/>
        <v>0</v>
      </c>
      <c r="AI216" s="409">
        <f t="shared" si="58"/>
        <v>1</v>
      </c>
      <c r="AJ216" s="409">
        <f t="shared" si="58"/>
        <v>0</v>
      </c>
      <c r="AK216" s="409">
        <f t="shared" si="58"/>
        <v>0</v>
      </c>
      <c r="AN216" s="391">
        <v>35485.5</v>
      </c>
      <c r="AO216" s="423">
        <f t="shared" si="49"/>
        <v>0</v>
      </c>
    </row>
    <row r="217" spans="1:41">
      <c r="A217" s="391" t="s">
        <v>585</v>
      </c>
      <c r="B217" s="408">
        <v>37011</v>
      </c>
      <c r="C217" s="391" t="s">
        <v>959</v>
      </c>
      <c r="D217" s="391" t="s">
        <v>960</v>
      </c>
      <c r="E217" s="391" t="s">
        <v>539</v>
      </c>
      <c r="F217" s="391" t="s">
        <v>540</v>
      </c>
      <c r="G217" s="391">
        <v>30</v>
      </c>
      <c r="H217" s="392">
        <v>101707.07</v>
      </c>
      <c r="I217" s="392">
        <v>50853.57</v>
      </c>
      <c r="J217" s="392">
        <v>3390.24</v>
      </c>
      <c r="K217" s="391" t="s">
        <v>505</v>
      </c>
      <c r="L217" s="391" t="s">
        <v>505</v>
      </c>
      <c r="O217" s="392">
        <f t="shared" si="59"/>
        <v>0</v>
      </c>
      <c r="P217" s="392">
        <f t="shared" si="59"/>
        <v>0</v>
      </c>
      <c r="Q217" s="392">
        <f t="shared" si="59"/>
        <v>101707.07</v>
      </c>
      <c r="R217" s="392">
        <f t="shared" si="59"/>
        <v>0</v>
      </c>
      <c r="S217" s="392">
        <f t="shared" si="59"/>
        <v>0</v>
      </c>
      <c r="U217" s="392">
        <f t="shared" si="52"/>
        <v>0</v>
      </c>
      <c r="V217" s="392">
        <f t="shared" si="52"/>
        <v>0</v>
      </c>
      <c r="W217" s="392">
        <f t="shared" si="52"/>
        <v>50853.57</v>
      </c>
      <c r="X217" s="392">
        <f t="shared" si="52"/>
        <v>0</v>
      </c>
      <c r="Y217" s="392">
        <f t="shared" si="52"/>
        <v>0</v>
      </c>
      <c r="AA217" s="392">
        <f t="shared" si="53"/>
        <v>0</v>
      </c>
      <c r="AB217" s="392">
        <f t="shared" si="53"/>
        <v>0</v>
      </c>
      <c r="AC217" s="392">
        <f t="shared" si="53"/>
        <v>3390.24</v>
      </c>
      <c r="AD217" s="392">
        <f t="shared" si="53"/>
        <v>0</v>
      </c>
      <c r="AE217" s="392">
        <f t="shared" si="53"/>
        <v>0</v>
      </c>
      <c r="AG217" s="409">
        <f t="shared" si="58"/>
        <v>0</v>
      </c>
      <c r="AH217" s="409">
        <f t="shared" si="58"/>
        <v>0</v>
      </c>
      <c r="AI217" s="409">
        <f t="shared" si="58"/>
        <v>1</v>
      </c>
      <c r="AJ217" s="409">
        <f t="shared" si="58"/>
        <v>0</v>
      </c>
      <c r="AK217" s="409">
        <f t="shared" si="58"/>
        <v>0</v>
      </c>
      <c r="AN217" s="391">
        <v>101707.07</v>
      </c>
      <c r="AO217" s="423">
        <f t="shared" si="49"/>
        <v>0</v>
      </c>
    </row>
    <row r="218" spans="1:41">
      <c r="A218" s="391" t="s">
        <v>572</v>
      </c>
      <c r="B218" s="408">
        <v>37011</v>
      </c>
      <c r="C218" s="391" t="s">
        <v>957</v>
      </c>
      <c r="D218" s="391" t="s">
        <v>961</v>
      </c>
      <c r="E218" s="391" t="s">
        <v>539</v>
      </c>
      <c r="F218" s="391" t="s">
        <v>540</v>
      </c>
      <c r="G218" s="391">
        <v>30</v>
      </c>
      <c r="H218" s="392">
        <v>265990.99</v>
      </c>
      <c r="I218" s="392">
        <v>132995.51999999999</v>
      </c>
      <c r="J218" s="392">
        <v>8866.3700000000008</v>
      </c>
      <c r="K218" s="391" t="s">
        <v>505</v>
      </c>
      <c r="L218" s="391" t="s">
        <v>505</v>
      </c>
      <c r="O218" s="392">
        <f t="shared" ref="O218:S225" si="60">IF(O$8=$K218,$H218,0)</f>
        <v>0</v>
      </c>
      <c r="P218" s="392">
        <f t="shared" si="60"/>
        <v>0</v>
      </c>
      <c r="Q218" s="392">
        <f t="shared" si="60"/>
        <v>265990.99</v>
      </c>
      <c r="R218" s="392">
        <f t="shared" si="60"/>
        <v>0</v>
      </c>
      <c r="S218" s="392">
        <f t="shared" si="60"/>
        <v>0</v>
      </c>
      <c r="U218" s="392">
        <f t="shared" si="52"/>
        <v>0</v>
      </c>
      <c r="V218" s="392">
        <f t="shared" si="52"/>
        <v>0</v>
      </c>
      <c r="W218" s="392">
        <f t="shared" si="52"/>
        <v>132995.51999999999</v>
      </c>
      <c r="X218" s="392">
        <f t="shared" si="52"/>
        <v>0</v>
      </c>
      <c r="Y218" s="392">
        <f t="shared" si="52"/>
        <v>0</v>
      </c>
      <c r="AA218" s="392">
        <f t="shared" si="53"/>
        <v>0</v>
      </c>
      <c r="AB218" s="392">
        <f t="shared" si="53"/>
        <v>0</v>
      </c>
      <c r="AC218" s="392">
        <f t="shared" si="53"/>
        <v>8866.3700000000008</v>
      </c>
      <c r="AD218" s="392">
        <f t="shared" si="53"/>
        <v>0</v>
      </c>
      <c r="AE218" s="392">
        <f t="shared" si="53"/>
        <v>0</v>
      </c>
      <c r="AG218" s="409">
        <f t="shared" si="58"/>
        <v>0</v>
      </c>
      <c r="AH218" s="409">
        <f t="shared" si="58"/>
        <v>0</v>
      </c>
      <c r="AI218" s="409">
        <f t="shared" si="58"/>
        <v>1</v>
      </c>
      <c r="AJ218" s="409">
        <f t="shared" si="58"/>
        <v>0</v>
      </c>
      <c r="AK218" s="409">
        <f t="shared" si="58"/>
        <v>0</v>
      </c>
      <c r="AN218" s="391">
        <v>265990.99</v>
      </c>
      <c r="AO218" s="423">
        <f t="shared" si="49"/>
        <v>0</v>
      </c>
    </row>
    <row r="219" spans="1:41">
      <c r="A219" s="391" t="s">
        <v>632</v>
      </c>
      <c r="B219" s="408">
        <v>37113</v>
      </c>
      <c r="C219" s="391" t="s">
        <v>962</v>
      </c>
      <c r="D219" s="391" t="s">
        <v>963</v>
      </c>
      <c r="E219" s="391" t="s">
        <v>539</v>
      </c>
      <c r="F219" s="391" t="s">
        <v>540</v>
      </c>
      <c r="G219" s="391">
        <v>5</v>
      </c>
      <c r="H219" s="392">
        <v>0</v>
      </c>
      <c r="I219" s="392">
        <v>0</v>
      </c>
      <c r="J219" s="392">
        <v>0</v>
      </c>
      <c r="K219" s="391" t="s">
        <v>515</v>
      </c>
      <c r="L219" s="391" t="s">
        <v>515</v>
      </c>
      <c r="O219" s="392">
        <f t="shared" si="60"/>
        <v>0</v>
      </c>
      <c r="P219" s="392">
        <f t="shared" si="60"/>
        <v>0</v>
      </c>
      <c r="Q219" s="392">
        <f t="shared" si="60"/>
        <v>0</v>
      </c>
      <c r="R219" s="392">
        <f t="shared" si="60"/>
        <v>0</v>
      </c>
      <c r="S219" s="392">
        <f t="shared" si="60"/>
        <v>0</v>
      </c>
      <c r="U219" s="392">
        <f t="shared" si="52"/>
        <v>0</v>
      </c>
      <c r="V219" s="392">
        <f t="shared" si="52"/>
        <v>0</v>
      </c>
      <c r="W219" s="392">
        <f t="shared" si="52"/>
        <v>0</v>
      </c>
      <c r="X219" s="392">
        <f t="shared" si="52"/>
        <v>0</v>
      </c>
      <c r="Y219" s="392">
        <f t="shared" si="52"/>
        <v>0</v>
      </c>
      <c r="AA219" s="392">
        <f t="shared" si="53"/>
        <v>0</v>
      </c>
      <c r="AB219" s="392">
        <f t="shared" si="53"/>
        <v>0</v>
      </c>
      <c r="AC219" s="392">
        <f t="shared" si="53"/>
        <v>0</v>
      </c>
      <c r="AD219" s="392">
        <f t="shared" si="53"/>
        <v>0</v>
      </c>
      <c r="AE219" s="392">
        <f t="shared" si="53"/>
        <v>0</v>
      </c>
      <c r="AG219" s="409">
        <f t="shared" si="58"/>
        <v>0</v>
      </c>
      <c r="AH219" s="409">
        <f t="shared" si="58"/>
        <v>0</v>
      </c>
      <c r="AI219" s="409">
        <f t="shared" si="58"/>
        <v>0</v>
      </c>
      <c r="AJ219" s="409">
        <f t="shared" si="58"/>
        <v>0</v>
      </c>
      <c r="AK219" s="409">
        <f t="shared" si="58"/>
        <v>0</v>
      </c>
      <c r="AN219" s="391">
        <v>0</v>
      </c>
      <c r="AO219" s="423">
        <f t="shared" si="49"/>
        <v>0</v>
      </c>
    </row>
    <row r="220" spans="1:41">
      <c r="A220" s="391" t="s">
        <v>632</v>
      </c>
      <c r="B220" s="408">
        <v>37127</v>
      </c>
      <c r="C220" s="391" t="s">
        <v>964</v>
      </c>
      <c r="D220" s="391" t="s">
        <v>965</v>
      </c>
      <c r="E220" s="391" t="s">
        <v>539</v>
      </c>
      <c r="F220" s="391" t="s">
        <v>540</v>
      </c>
      <c r="G220" s="391">
        <v>5</v>
      </c>
      <c r="H220" s="392">
        <v>1995</v>
      </c>
      <c r="I220" s="392">
        <v>1995</v>
      </c>
      <c r="J220" s="392">
        <v>0</v>
      </c>
      <c r="K220" s="391" t="s">
        <v>515</v>
      </c>
      <c r="L220" s="391" t="s">
        <v>515</v>
      </c>
      <c r="O220" s="392">
        <f t="shared" si="60"/>
        <v>0</v>
      </c>
      <c r="P220" s="392">
        <f t="shared" si="60"/>
        <v>0</v>
      </c>
      <c r="Q220" s="392">
        <f t="shared" si="60"/>
        <v>0</v>
      </c>
      <c r="R220" s="392">
        <f t="shared" si="60"/>
        <v>1995</v>
      </c>
      <c r="S220" s="392">
        <f t="shared" si="60"/>
        <v>0</v>
      </c>
      <c r="U220" s="392">
        <f t="shared" si="52"/>
        <v>0</v>
      </c>
      <c r="V220" s="392">
        <f t="shared" si="52"/>
        <v>0</v>
      </c>
      <c r="W220" s="392">
        <f t="shared" si="52"/>
        <v>0</v>
      </c>
      <c r="X220" s="392">
        <f t="shared" si="52"/>
        <v>1995</v>
      </c>
      <c r="Y220" s="392">
        <f t="shared" si="52"/>
        <v>0</v>
      </c>
      <c r="AA220" s="392">
        <f t="shared" si="53"/>
        <v>0</v>
      </c>
      <c r="AB220" s="392">
        <f t="shared" si="53"/>
        <v>0</v>
      </c>
      <c r="AC220" s="392">
        <f t="shared" si="53"/>
        <v>0</v>
      </c>
      <c r="AD220" s="392">
        <f t="shared" si="53"/>
        <v>0</v>
      </c>
      <c r="AE220" s="392">
        <f t="shared" si="53"/>
        <v>0</v>
      </c>
      <c r="AG220" s="409">
        <f t="shared" si="58"/>
        <v>0</v>
      </c>
      <c r="AH220" s="409">
        <f t="shared" si="58"/>
        <v>0</v>
      </c>
      <c r="AI220" s="409">
        <f t="shared" si="58"/>
        <v>0</v>
      </c>
      <c r="AJ220" s="409">
        <f t="shared" si="58"/>
        <v>1</v>
      </c>
      <c r="AK220" s="409">
        <f t="shared" si="58"/>
        <v>0</v>
      </c>
      <c r="AN220" s="391">
        <v>1995</v>
      </c>
      <c r="AO220" s="423">
        <f t="shared" si="49"/>
        <v>0</v>
      </c>
    </row>
    <row r="221" spans="1:41">
      <c r="A221" s="391" t="s">
        <v>632</v>
      </c>
      <c r="B221" s="408">
        <v>37127</v>
      </c>
      <c r="C221" s="391" t="s">
        <v>966</v>
      </c>
      <c r="D221" s="391" t="s">
        <v>967</v>
      </c>
      <c r="E221" s="391" t="s">
        <v>539</v>
      </c>
      <c r="F221" s="391" t="s">
        <v>540</v>
      </c>
      <c r="G221" s="391">
        <v>5</v>
      </c>
      <c r="H221" s="392">
        <v>2204</v>
      </c>
      <c r="I221" s="392">
        <v>2204</v>
      </c>
      <c r="J221" s="392">
        <v>0</v>
      </c>
      <c r="K221" s="391" t="s">
        <v>515</v>
      </c>
      <c r="L221" s="391" t="s">
        <v>515</v>
      </c>
      <c r="O221" s="392">
        <f t="shared" si="60"/>
        <v>0</v>
      </c>
      <c r="P221" s="392">
        <f t="shared" si="60"/>
        <v>0</v>
      </c>
      <c r="Q221" s="392">
        <f t="shared" si="60"/>
        <v>0</v>
      </c>
      <c r="R221" s="392">
        <f t="shared" si="60"/>
        <v>2204</v>
      </c>
      <c r="S221" s="392">
        <f t="shared" si="60"/>
        <v>0</v>
      </c>
      <c r="U221" s="392">
        <f t="shared" si="52"/>
        <v>0</v>
      </c>
      <c r="V221" s="392">
        <f t="shared" si="52"/>
        <v>0</v>
      </c>
      <c r="W221" s="392">
        <f t="shared" si="52"/>
        <v>0</v>
      </c>
      <c r="X221" s="392">
        <f t="shared" si="52"/>
        <v>2204</v>
      </c>
      <c r="Y221" s="392">
        <f t="shared" si="52"/>
        <v>0</v>
      </c>
      <c r="AA221" s="392">
        <f t="shared" si="53"/>
        <v>0</v>
      </c>
      <c r="AB221" s="392">
        <f t="shared" si="53"/>
        <v>0</v>
      </c>
      <c r="AC221" s="392">
        <f t="shared" si="53"/>
        <v>0</v>
      </c>
      <c r="AD221" s="392">
        <f t="shared" si="53"/>
        <v>0</v>
      </c>
      <c r="AE221" s="392">
        <f t="shared" si="53"/>
        <v>0</v>
      </c>
      <c r="AG221" s="409">
        <f t="shared" si="58"/>
        <v>0</v>
      </c>
      <c r="AH221" s="409">
        <f t="shared" si="58"/>
        <v>0</v>
      </c>
      <c r="AI221" s="409">
        <f t="shared" si="58"/>
        <v>0</v>
      </c>
      <c r="AJ221" s="409">
        <f t="shared" si="58"/>
        <v>1</v>
      </c>
      <c r="AK221" s="409">
        <f t="shared" si="58"/>
        <v>0</v>
      </c>
      <c r="AN221" s="391">
        <v>2204</v>
      </c>
      <c r="AO221" s="423">
        <f t="shared" si="49"/>
        <v>0</v>
      </c>
    </row>
    <row r="222" spans="1:41">
      <c r="A222" s="391" t="s">
        <v>646</v>
      </c>
      <c r="B222" s="408">
        <v>37169</v>
      </c>
      <c r="C222" s="391" t="s">
        <v>968</v>
      </c>
      <c r="D222" s="391" t="s">
        <v>969</v>
      </c>
      <c r="E222" s="391" t="s">
        <v>539</v>
      </c>
      <c r="F222" s="391" t="s">
        <v>540</v>
      </c>
      <c r="G222" s="391">
        <v>5</v>
      </c>
      <c r="H222" s="392">
        <v>17538.5</v>
      </c>
      <c r="I222" s="392">
        <v>17538.5</v>
      </c>
      <c r="J222" s="392">
        <v>0</v>
      </c>
      <c r="K222" s="391" t="s">
        <v>515</v>
      </c>
      <c r="L222" s="391" t="s">
        <v>515</v>
      </c>
      <c r="O222" s="392">
        <f t="shared" si="60"/>
        <v>0</v>
      </c>
      <c r="P222" s="392">
        <f t="shared" si="60"/>
        <v>0</v>
      </c>
      <c r="Q222" s="392">
        <f t="shared" si="60"/>
        <v>0</v>
      </c>
      <c r="R222" s="392">
        <f t="shared" si="60"/>
        <v>17538.5</v>
      </c>
      <c r="S222" s="392">
        <f t="shared" si="60"/>
        <v>0</v>
      </c>
      <c r="U222" s="392">
        <f t="shared" si="52"/>
        <v>0</v>
      </c>
      <c r="V222" s="392">
        <f t="shared" si="52"/>
        <v>0</v>
      </c>
      <c r="W222" s="392">
        <f t="shared" si="52"/>
        <v>0</v>
      </c>
      <c r="X222" s="392">
        <f t="shared" si="52"/>
        <v>17538.5</v>
      </c>
      <c r="Y222" s="392">
        <f t="shared" si="52"/>
        <v>0</v>
      </c>
      <c r="AA222" s="392">
        <f t="shared" si="53"/>
        <v>0</v>
      </c>
      <c r="AB222" s="392">
        <f t="shared" si="53"/>
        <v>0</v>
      </c>
      <c r="AC222" s="392">
        <f t="shared" si="53"/>
        <v>0</v>
      </c>
      <c r="AD222" s="392">
        <f t="shared" si="53"/>
        <v>0</v>
      </c>
      <c r="AE222" s="392">
        <f t="shared" si="53"/>
        <v>0</v>
      </c>
      <c r="AG222" s="409">
        <f t="shared" si="58"/>
        <v>0</v>
      </c>
      <c r="AH222" s="409">
        <f t="shared" si="58"/>
        <v>0</v>
      </c>
      <c r="AI222" s="409">
        <f t="shared" si="58"/>
        <v>0</v>
      </c>
      <c r="AJ222" s="409">
        <f t="shared" si="58"/>
        <v>1</v>
      </c>
      <c r="AK222" s="409">
        <f t="shared" si="58"/>
        <v>0</v>
      </c>
      <c r="AN222" s="391">
        <v>17538.5</v>
      </c>
      <c r="AO222" s="423">
        <f t="shared" si="49"/>
        <v>0</v>
      </c>
    </row>
    <row r="223" spans="1:41">
      <c r="A223" s="391" t="s">
        <v>632</v>
      </c>
      <c r="B223" s="408">
        <v>37197</v>
      </c>
      <c r="C223" s="391" t="s">
        <v>970</v>
      </c>
      <c r="D223" s="391" t="s">
        <v>971</v>
      </c>
      <c r="E223" s="391" t="s">
        <v>539</v>
      </c>
      <c r="F223" s="391" t="s">
        <v>540</v>
      </c>
      <c r="G223" s="391">
        <v>5</v>
      </c>
      <c r="H223" s="392">
        <v>3460</v>
      </c>
      <c r="I223" s="392">
        <v>3460</v>
      </c>
      <c r="J223" s="392">
        <v>0</v>
      </c>
      <c r="K223" s="391" t="s">
        <v>515</v>
      </c>
      <c r="L223" s="391" t="s">
        <v>515</v>
      </c>
      <c r="O223" s="392">
        <f t="shared" si="60"/>
        <v>0</v>
      </c>
      <c r="P223" s="392">
        <f t="shared" si="60"/>
        <v>0</v>
      </c>
      <c r="Q223" s="392">
        <f t="shared" si="60"/>
        <v>0</v>
      </c>
      <c r="R223" s="392">
        <f t="shared" si="60"/>
        <v>3460</v>
      </c>
      <c r="S223" s="392">
        <f t="shared" si="60"/>
        <v>0</v>
      </c>
      <c r="U223" s="392">
        <f t="shared" si="52"/>
        <v>0</v>
      </c>
      <c r="V223" s="392">
        <f t="shared" si="52"/>
        <v>0</v>
      </c>
      <c r="W223" s="392">
        <f t="shared" si="52"/>
        <v>0</v>
      </c>
      <c r="X223" s="392">
        <f t="shared" si="52"/>
        <v>3460</v>
      </c>
      <c r="Y223" s="392">
        <f t="shared" si="52"/>
        <v>0</v>
      </c>
      <c r="AA223" s="392">
        <f t="shared" si="53"/>
        <v>0</v>
      </c>
      <c r="AB223" s="392">
        <f t="shared" si="53"/>
        <v>0</v>
      </c>
      <c r="AC223" s="392">
        <f t="shared" si="53"/>
        <v>0</v>
      </c>
      <c r="AD223" s="392">
        <f t="shared" si="53"/>
        <v>0</v>
      </c>
      <c r="AE223" s="392">
        <f t="shared" si="53"/>
        <v>0</v>
      </c>
      <c r="AG223" s="409">
        <f t="shared" si="58"/>
        <v>0</v>
      </c>
      <c r="AH223" s="409">
        <f t="shared" si="58"/>
        <v>0</v>
      </c>
      <c r="AI223" s="409">
        <f t="shared" si="58"/>
        <v>0</v>
      </c>
      <c r="AJ223" s="409">
        <f t="shared" si="58"/>
        <v>1</v>
      </c>
      <c r="AK223" s="409">
        <f t="shared" si="58"/>
        <v>0</v>
      </c>
      <c r="AN223" s="391">
        <v>3460</v>
      </c>
      <c r="AO223" s="423">
        <f t="shared" si="49"/>
        <v>0</v>
      </c>
    </row>
    <row r="224" spans="1:41">
      <c r="A224" s="391" t="s">
        <v>632</v>
      </c>
      <c r="B224" s="408">
        <v>37267</v>
      </c>
      <c r="C224" s="391" t="s">
        <v>972</v>
      </c>
      <c r="D224" s="391" t="s">
        <v>973</v>
      </c>
      <c r="E224" s="391" t="s">
        <v>539</v>
      </c>
      <c r="F224" s="391" t="s">
        <v>540</v>
      </c>
      <c r="G224" s="391">
        <v>5</v>
      </c>
      <c r="H224" s="392">
        <v>5006.25</v>
      </c>
      <c r="I224" s="392">
        <v>5006.25</v>
      </c>
      <c r="J224" s="392">
        <v>0</v>
      </c>
      <c r="K224" s="391" t="s">
        <v>515</v>
      </c>
      <c r="L224" s="391" t="s">
        <v>515</v>
      </c>
      <c r="O224" s="392">
        <f t="shared" si="60"/>
        <v>0</v>
      </c>
      <c r="P224" s="392">
        <f t="shared" si="60"/>
        <v>0</v>
      </c>
      <c r="Q224" s="392">
        <f t="shared" si="60"/>
        <v>0</v>
      </c>
      <c r="R224" s="392">
        <f t="shared" si="60"/>
        <v>5006.25</v>
      </c>
      <c r="S224" s="392">
        <f t="shared" si="60"/>
        <v>0</v>
      </c>
      <c r="U224" s="392">
        <f t="shared" si="52"/>
        <v>0</v>
      </c>
      <c r="V224" s="392">
        <f t="shared" si="52"/>
        <v>0</v>
      </c>
      <c r="W224" s="392">
        <f t="shared" si="52"/>
        <v>0</v>
      </c>
      <c r="X224" s="392">
        <f t="shared" si="52"/>
        <v>5006.25</v>
      </c>
      <c r="Y224" s="392">
        <f t="shared" si="52"/>
        <v>0</v>
      </c>
      <c r="AA224" s="392">
        <f t="shared" si="53"/>
        <v>0</v>
      </c>
      <c r="AB224" s="392">
        <f t="shared" si="53"/>
        <v>0</v>
      </c>
      <c r="AC224" s="392">
        <f t="shared" si="53"/>
        <v>0</v>
      </c>
      <c r="AD224" s="392">
        <f t="shared" si="53"/>
        <v>0</v>
      </c>
      <c r="AE224" s="392">
        <f t="shared" si="53"/>
        <v>0</v>
      </c>
      <c r="AG224" s="409">
        <f t="shared" si="58"/>
        <v>0</v>
      </c>
      <c r="AH224" s="409">
        <f t="shared" si="58"/>
        <v>0</v>
      </c>
      <c r="AI224" s="409">
        <f t="shared" si="58"/>
        <v>0</v>
      </c>
      <c r="AJ224" s="409">
        <f t="shared" si="58"/>
        <v>1</v>
      </c>
      <c r="AK224" s="409">
        <f t="shared" si="58"/>
        <v>0</v>
      </c>
      <c r="AN224" s="391">
        <v>5006.25</v>
      </c>
      <c r="AO224" s="423">
        <f t="shared" si="49"/>
        <v>0</v>
      </c>
    </row>
    <row r="225" spans="1:41">
      <c r="A225" s="391" t="s">
        <v>632</v>
      </c>
      <c r="B225" s="408">
        <v>37281</v>
      </c>
      <c r="C225" s="391" t="s">
        <v>974</v>
      </c>
      <c r="D225" s="391" t="s">
        <v>975</v>
      </c>
      <c r="E225" s="391" t="s">
        <v>539</v>
      </c>
      <c r="F225" s="391" t="s">
        <v>540</v>
      </c>
      <c r="G225" s="391">
        <v>5</v>
      </c>
      <c r="H225" s="392">
        <v>8195</v>
      </c>
      <c r="I225" s="392">
        <v>8195</v>
      </c>
      <c r="J225" s="392">
        <v>0</v>
      </c>
      <c r="K225" s="391" t="s">
        <v>515</v>
      </c>
      <c r="L225" s="391" t="s">
        <v>515</v>
      </c>
      <c r="O225" s="392">
        <f t="shared" si="60"/>
        <v>0</v>
      </c>
      <c r="P225" s="392">
        <f t="shared" si="60"/>
        <v>0</v>
      </c>
      <c r="Q225" s="392">
        <f t="shared" si="60"/>
        <v>0</v>
      </c>
      <c r="R225" s="392">
        <f t="shared" si="60"/>
        <v>8195</v>
      </c>
      <c r="S225" s="392">
        <f t="shared" si="60"/>
        <v>0</v>
      </c>
      <c r="U225" s="392">
        <f t="shared" si="52"/>
        <v>0</v>
      </c>
      <c r="V225" s="392">
        <f t="shared" si="52"/>
        <v>0</v>
      </c>
      <c r="W225" s="392">
        <f t="shared" si="52"/>
        <v>0</v>
      </c>
      <c r="X225" s="392">
        <f t="shared" si="52"/>
        <v>8195</v>
      </c>
      <c r="Y225" s="392">
        <f t="shared" si="52"/>
        <v>0</v>
      </c>
      <c r="AA225" s="392">
        <f t="shared" si="53"/>
        <v>0</v>
      </c>
      <c r="AB225" s="392">
        <f t="shared" si="53"/>
        <v>0</v>
      </c>
      <c r="AC225" s="392">
        <f t="shared" si="53"/>
        <v>0</v>
      </c>
      <c r="AD225" s="392">
        <f t="shared" si="53"/>
        <v>0</v>
      </c>
      <c r="AE225" s="392">
        <f t="shared" si="53"/>
        <v>0</v>
      </c>
      <c r="AG225" s="409">
        <f t="shared" si="58"/>
        <v>0</v>
      </c>
      <c r="AH225" s="409">
        <f t="shared" si="58"/>
        <v>0</v>
      </c>
      <c r="AI225" s="409">
        <f t="shared" si="58"/>
        <v>0</v>
      </c>
      <c r="AJ225" s="409">
        <f t="shared" si="58"/>
        <v>1</v>
      </c>
      <c r="AK225" s="409">
        <f t="shared" si="58"/>
        <v>0</v>
      </c>
      <c r="AN225" s="391">
        <v>8195</v>
      </c>
      <c r="AO225" s="423">
        <f t="shared" si="49"/>
        <v>0</v>
      </c>
    </row>
    <row r="226" spans="1:41">
      <c r="A226" s="391" t="s">
        <v>632</v>
      </c>
      <c r="B226" s="408">
        <v>37281</v>
      </c>
      <c r="C226" s="391" t="s">
        <v>976</v>
      </c>
      <c r="D226" s="391" t="s">
        <v>977</v>
      </c>
      <c r="E226" s="391" t="s">
        <v>539</v>
      </c>
      <c r="F226" s="391" t="s">
        <v>540</v>
      </c>
      <c r="G226" s="391">
        <v>5</v>
      </c>
      <c r="H226" s="392">
        <v>0</v>
      </c>
      <c r="I226" s="392">
        <v>0</v>
      </c>
      <c r="J226" s="392">
        <v>0</v>
      </c>
      <c r="K226" s="391" t="s">
        <v>515</v>
      </c>
      <c r="L226" s="391" t="s">
        <v>515</v>
      </c>
      <c r="O226" s="392">
        <f t="shared" ref="O226:S232" si="61">IF(O$8=$K226,$H226,0)</f>
        <v>0</v>
      </c>
      <c r="P226" s="392">
        <f t="shared" si="61"/>
        <v>0</v>
      </c>
      <c r="Q226" s="392">
        <f t="shared" si="61"/>
        <v>0</v>
      </c>
      <c r="R226" s="392">
        <f t="shared" si="61"/>
        <v>0</v>
      </c>
      <c r="S226" s="392">
        <f t="shared" si="61"/>
        <v>0</v>
      </c>
      <c r="U226" s="392">
        <f t="shared" si="52"/>
        <v>0</v>
      </c>
      <c r="V226" s="392">
        <f t="shared" si="52"/>
        <v>0</v>
      </c>
      <c r="W226" s="392">
        <f t="shared" si="52"/>
        <v>0</v>
      </c>
      <c r="X226" s="392">
        <f t="shared" si="52"/>
        <v>0</v>
      </c>
      <c r="Y226" s="392">
        <f t="shared" si="52"/>
        <v>0</v>
      </c>
      <c r="AA226" s="392">
        <f t="shared" si="53"/>
        <v>0</v>
      </c>
      <c r="AB226" s="392">
        <f t="shared" si="53"/>
        <v>0</v>
      </c>
      <c r="AC226" s="392">
        <f t="shared" si="53"/>
        <v>0</v>
      </c>
      <c r="AD226" s="392">
        <f t="shared" si="53"/>
        <v>0</v>
      </c>
      <c r="AE226" s="392">
        <f t="shared" si="53"/>
        <v>0</v>
      </c>
      <c r="AG226" s="409">
        <f t="shared" si="58"/>
        <v>0</v>
      </c>
      <c r="AH226" s="409">
        <f t="shared" si="58"/>
        <v>0</v>
      </c>
      <c r="AI226" s="409">
        <f t="shared" si="58"/>
        <v>0</v>
      </c>
      <c r="AJ226" s="409">
        <f t="shared" si="58"/>
        <v>0</v>
      </c>
      <c r="AK226" s="409">
        <f t="shared" si="58"/>
        <v>0</v>
      </c>
      <c r="AN226" s="391">
        <v>0</v>
      </c>
      <c r="AO226" s="423">
        <f t="shared" si="49"/>
        <v>0</v>
      </c>
    </row>
    <row r="227" spans="1:41">
      <c r="A227" s="391" t="s">
        <v>632</v>
      </c>
      <c r="B227" s="408">
        <v>37309</v>
      </c>
      <c r="C227" s="391" t="s">
        <v>978</v>
      </c>
      <c r="D227" s="391" t="s">
        <v>979</v>
      </c>
      <c r="E227" s="391" t="s">
        <v>539</v>
      </c>
      <c r="F227" s="391" t="s">
        <v>540</v>
      </c>
      <c r="G227" s="391">
        <v>5</v>
      </c>
      <c r="H227" s="392">
        <v>1112</v>
      </c>
      <c r="I227" s="392">
        <v>1112</v>
      </c>
      <c r="J227" s="392">
        <v>0</v>
      </c>
      <c r="K227" s="391" t="s">
        <v>515</v>
      </c>
      <c r="L227" s="391" t="s">
        <v>515</v>
      </c>
      <c r="O227" s="392">
        <f t="shared" si="61"/>
        <v>0</v>
      </c>
      <c r="P227" s="392">
        <f t="shared" si="61"/>
        <v>0</v>
      </c>
      <c r="Q227" s="392">
        <f t="shared" si="61"/>
        <v>0</v>
      </c>
      <c r="R227" s="392">
        <f t="shared" si="61"/>
        <v>1112</v>
      </c>
      <c r="S227" s="392">
        <f t="shared" si="61"/>
        <v>0</v>
      </c>
      <c r="U227" s="392">
        <f t="shared" si="52"/>
        <v>0</v>
      </c>
      <c r="V227" s="392">
        <f t="shared" si="52"/>
        <v>0</v>
      </c>
      <c r="W227" s="392">
        <f t="shared" si="52"/>
        <v>0</v>
      </c>
      <c r="X227" s="392">
        <f t="shared" si="52"/>
        <v>1112</v>
      </c>
      <c r="Y227" s="392">
        <f t="shared" si="52"/>
        <v>0</v>
      </c>
      <c r="AA227" s="392">
        <f t="shared" si="53"/>
        <v>0</v>
      </c>
      <c r="AB227" s="392">
        <f t="shared" si="53"/>
        <v>0</v>
      </c>
      <c r="AC227" s="392">
        <f t="shared" si="53"/>
        <v>0</v>
      </c>
      <c r="AD227" s="392">
        <f t="shared" si="53"/>
        <v>0</v>
      </c>
      <c r="AE227" s="392">
        <f t="shared" si="53"/>
        <v>0</v>
      </c>
      <c r="AG227" s="409">
        <f t="shared" si="58"/>
        <v>0</v>
      </c>
      <c r="AH227" s="409">
        <f t="shared" si="58"/>
        <v>0</v>
      </c>
      <c r="AI227" s="409">
        <f t="shared" si="58"/>
        <v>0</v>
      </c>
      <c r="AJ227" s="409">
        <f t="shared" si="58"/>
        <v>1</v>
      </c>
      <c r="AK227" s="409">
        <f t="shared" si="58"/>
        <v>0</v>
      </c>
      <c r="AN227" s="391">
        <v>1112</v>
      </c>
      <c r="AO227" s="423">
        <f t="shared" si="49"/>
        <v>0</v>
      </c>
    </row>
    <row r="228" spans="1:41">
      <c r="A228" s="391" t="s">
        <v>632</v>
      </c>
      <c r="B228" s="408">
        <v>37337</v>
      </c>
      <c r="C228" s="391" t="s">
        <v>980</v>
      </c>
      <c r="D228" s="391" t="s">
        <v>981</v>
      </c>
      <c r="E228" s="391" t="s">
        <v>539</v>
      </c>
      <c r="F228" s="391" t="s">
        <v>540</v>
      </c>
      <c r="G228" s="391">
        <v>5</v>
      </c>
      <c r="H228" s="392">
        <v>0</v>
      </c>
      <c r="I228" s="392">
        <v>0</v>
      </c>
      <c r="J228" s="392">
        <v>0</v>
      </c>
      <c r="K228" s="391" t="s">
        <v>515</v>
      </c>
      <c r="L228" s="391" t="s">
        <v>515</v>
      </c>
      <c r="O228" s="392">
        <f t="shared" si="61"/>
        <v>0</v>
      </c>
      <c r="P228" s="392">
        <f t="shared" si="61"/>
        <v>0</v>
      </c>
      <c r="Q228" s="392">
        <f t="shared" si="61"/>
        <v>0</v>
      </c>
      <c r="R228" s="392">
        <f t="shared" si="61"/>
        <v>0</v>
      </c>
      <c r="S228" s="392">
        <f t="shared" si="61"/>
        <v>0</v>
      </c>
      <c r="U228" s="392">
        <f t="shared" si="52"/>
        <v>0</v>
      </c>
      <c r="V228" s="392">
        <f t="shared" si="52"/>
        <v>0</v>
      </c>
      <c r="W228" s="392">
        <f t="shared" si="52"/>
        <v>0</v>
      </c>
      <c r="X228" s="392">
        <f t="shared" si="52"/>
        <v>0</v>
      </c>
      <c r="Y228" s="392">
        <f t="shared" si="52"/>
        <v>0</v>
      </c>
      <c r="AA228" s="392">
        <f t="shared" si="53"/>
        <v>0</v>
      </c>
      <c r="AB228" s="392">
        <f t="shared" si="53"/>
        <v>0</v>
      </c>
      <c r="AC228" s="392">
        <f t="shared" si="53"/>
        <v>0</v>
      </c>
      <c r="AD228" s="392">
        <f t="shared" si="53"/>
        <v>0</v>
      </c>
      <c r="AE228" s="392">
        <f t="shared" si="53"/>
        <v>0</v>
      </c>
      <c r="AG228" s="409">
        <f t="shared" si="58"/>
        <v>0</v>
      </c>
      <c r="AH228" s="409">
        <f t="shared" si="58"/>
        <v>0</v>
      </c>
      <c r="AI228" s="409">
        <f t="shared" si="58"/>
        <v>0</v>
      </c>
      <c r="AJ228" s="409">
        <f t="shared" si="58"/>
        <v>0</v>
      </c>
      <c r="AK228" s="409">
        <f t="shared" si="58"/>
        <v>0</v>
      </c>
      <c r="AN228" s="391">
        <v>0</v>
      </c>
      <c r="AO228" s="423">
        <f t="shared" si="49"/>
        <v>0</v>
      </c>
    </row>
    <row r="229" spans="1:41">
      <c r="A229" s="391" t="s">
        <v>982</v>
      </c>
      <c r="B229" s="408">
        <v>37365</v>
      </c>
      <c r="C229" s="391" t="s">
        <v>983</v>
      </c>
      <c r="D229" s="391" t="s">
        <v>984</v>
      </c>
      <c r="E229" s="391" t="s">
        <v>539</v>
      </c>
      <c r="F229" s="391" t="s">
        <v>540</v>
      </c>
      <c r="G229" s="391">
        <v>5</v>
      </c>
      <c r="H229" s="392">
        <v>15266.01</v>
      </c>
      <c r="I229" s="392">
        <v>15266.01</v>
      </c>
      <c r="J229" s="392">
        <v>0</v>
      </c>
      <c r="K229" s="391" t="s">
        <v>515</v>
      </c>
      <c r="L229" s="391" t="s">
        <v>515</v>
      </c>
      <c r="O229" s="392">
        <f t="shared" si="61"/>
        <v>0</v>
      </c>
      <c r="P229" s="392">
        <f t="shared" si="61"/>
        <v>0</v>
      </c>
      <c r="Q229" s="392">
        <f t="shared" si="61"/>
        <v>0</v>
      </c>
      <c r="R229" s="392">
        <f t="shared" si="61"/>
        <v>15266.01</v>
      </c>
      <c r="S229" s="392">
        <f t="shared" si="61"/>
        <v>0</v>
      </c>
      <c r="U229" s="392">
        <f t="shared" si="52"/>
        <v>0</v>
      </c>
      <c r="V229" s="392">
        <f t="shared" si="52"/>
        <v>0</v>
      </c>
      <c r="W229" s="392">
        <f t="shared" si="52"/>
        <v>0</v>
      </c>
      <c r="X229" s="392">
        <f t="shared" si="52"/>
        <v>15266.01</v>
      </c>
      <c r="Y229" s="392">
        <f t="shared" si="52"/>
        <v>0</v>
      </c>
      <c r="AA229" s="392">
        <f t="shared" si="53"/>
        <v>0</v>
      </c>
      <c r="AB229" s="392">
        <f t="shared" si="53"/>
        <v>0</v>
      </c>
      <c r="AC229" s="392">
        <f t="shared" si="53"/>
        <v>0</v>
      </c>
      <c r="AD229" s="392">
        <f t="shared" si="53"/>
        <v>0</v>
      </c>
      <c r="AE229" s="392">
        <f t="shared" si="53"/>
        <v>0</v>
      </c>
      <c r="AG229" s="409">
        <f t="shared" si="58"/>
        <v>0</v>
      </c>
      <c r="AH229" s="409">
        <f t="shared" si="58"/>
        <v>0</v>
      </c>
      <c r="AI229" s="409">
        <f t="shared" si="58"/>
        <v>0</v>
      </c>
      <c r="AJ229" s="409">
        <f t="shared" si="58"/>
        <v>1</v>
      </c>
      <c r="AK229" s="409">
        <f t="shared" si="58"/>
        <v>0</v>
      </c>
      <c r="AN229" s="391">
        <v>15266.01</v>
      </c>
      <c r="AO229" s="423">
        <f t="shared" si="49"/>
        <v>0</v>
      </c>
    </row>
    <row r="230" spans="1:41">
      <c r="A230" s="391" t="s">
        <v>632</v>
      </c>
      <c r="B230" s="408">
        <v>37365</v>
      </c>
      <c r="C230" s="391" t="s">
        <v>985</v>
      </c>
      <c r="D230" s="391" t="s">
        <v>986</v>
      </c>
      <c r="E230" s="391" t="s">
        <v>539</v>
      </c>
      <c r="F230" s="391" t="s">
        <v>540</v>
      </c>
      <c r="G230" s="391">
        <v>5</v>
      </c>
      <c r="H230" s="392">
        <v>2120</v>
      </c>
      <c r="I230" s="392">
        <v>2120</v>
      </c>
      <c r="J230" s="392">
        <v>0</v>
      </c>
      <c r="K230" s="391" t="s">
        <v>515</v>
      </c>
      <c r="L230" s="391" t="s">
        <v>515</v>
      </c>
      <c r="O230" s="392">
        <f t="shared" si="61"/>
        <v>0</v>
      </c>
      <c r="P230" s="392">
        <f t="shared" si="61"/>
        <v>0</v>
      </c>
      <c r="Q230" s="392">
        <f t="shared" si="61"/>
        <v>0</v>
      </c>
      <c r="R230" s="392">
        <f t="shared" si="61"/>
        <v>2120</v>
      </c>
      <c r="S230" s="392">
        <f t="shared" si="61"/>
        <v>0</v>
      </c>
      <c r="U230" s="392">
        <f t="shared" si="52"/>
        <v>0</v>
      </c>
      <c r="V230" s="392">
        <f t="shared" si="52"/>
        <v>0</v>
      </c>
      <c r="W230" s="392">
        <f t="shared" si="52"/>
        <v>0</v>
      </c>
      <c r="X230" s="392">
        <f t="shared" si="52"/>
        <v>2120</v>
      </c>
      <c r="Y230" s="392">
        <f t="shared" si="52"/>
        <v>0</v>
      </c>
      <c r="AA230" s="392">
        <f t="shared" si="53"/>
        <v>0</v>
      </c>
      <c r="AB230" s="392">
        <f t="shared" si="53"/>
        <v>0</v>
      </c>
      <c r="AC230" s="392">
        <f t="shared" si="53"/>
        <v>0</v>
      </c>
      <c r="AD230" s="392">
        <f t="shared" si="53"/>
        <v>0</v>
      </c>
      <c r="AE230" s="392">
        <f t="shared" si="53"/>
        <v>0</v>
      </c>
      <c r="AG230" s="409">
        <f t="shared" si="58"/>
        <v>0</v>
      </c>
      <c r="AH230" s="409">
        <f t="shared" si="58"/>
        <v>0</v>
      </c>
      <c r="AI230" s="409">
        <f t="shared" si="58"/>
        <v>0</v>
      </c>
      <c r="AJ230" s="409">
        <f t="shared" si="58"/>
        <v>1</v>
      </c>
      <c r="AK230" s="409">
        <f t="shared" si="58"/>
        <v>0</v>
      </c>
      <c r="AN230" s="391">
        <v>2120</v>
      </c>
      <c r="AO230" s="423">
        <f t="shared" si="49"/>
        <v>0</v>
      </c>
    </row>
    <row r="231" spans="1:41">
      <c r="A231" s="391" t="s">
        <v>682</v>
      </c>
      <c r="B231" s="408">
        <v>37365</v>
      </c>
      <c r="C231" s="391" t="s">
        <v>987</v>
      </c>
      <c r="D231" s="391" t="s">
        <v>988</v>
      </c>
      <c r="E231" s="391" t="s">
        <v>539</v>
      </c>
      <c r="F231" s="391" t="s">
        <v>540</v>
      </c>
      <c r="G231" s="391">
        <v>5</v>
      </c>
      <c r="H231" s="392">
        <v>13595</v>
      </c>
      <c r="I231" s="392">
        <v>13595</v>
      </c>
      <c r="J231" s="392">
        <v>0</v>
      </c>
      <c r="K231" s="391" t="s">
        <v>515</v>
      </c>
      <c r="L231" s="391" t="s">
        <v>515</v>
      </c>
      <c r="O231" s="392">
        <f t="shared" si="61"/>
        <v>0</v>
      </c>
      <c r="P231" s="392">
        <f t="shared" si="61"/>
        <v>0</v>
      </c>
      <c r="Q231" s="392">
        <f t="shared" si="61"/>
        <v>0</v>
      </c>
      <c r="R231" s="392">
        <f t="shared" si="61"/>
        <v>13595</v>
      </c>
      <c r="S231" s="392">
        <f t="shared" si="61"/>
        <v>0</v>
      </c>
      <c r="U231" s="392">
        <f t="shared" si="52"/>
        <v>0</v>
      </c>
      <c r="V231" s="392">
        <f t="shared" si="52"/>
        <v>0</v>
      </c>
      <c r="W231" s="392">
        <f t="shared" si="52"/>
        <v>0</v>
      </c>
      <c r="X231" s="392">
        <f t="shared" si="52"/>
        <v>13595</v>
      </c>
      <c r="Y231" s="392">
        <f t="shared" si="52"/>
        <v>0</v>
      </c>
      <c r="AA231" s="392">
        <f t="shared" si="53"/>
        <v>0</v>
      </c>
      <c r="AB231" s="392">
        <f t="shared" si="53"/>
        <v>0</v>
      </c>
      <c r="AC231" s="392">
        <f t="shared" si="53"/>
        <v>0</v>
      </c>
      <c r="AD231" s="392">
        <f t="shared" si="53"/>
        <v>0</v>
      </c>
      <c r="AE231" s="392">
        <f t="shared" si="53"/>
        <v>0</v>
      </c>
      <c r="AG231" s="409">
        <f t="shared" si="58"/>
        <v>0</v>
      </c>
      <c r="AH231" s="409">
        <f t="shared" si="58"/>
        <v>0</v>
      </c>
      <c r="AI231" s="409">
        <f t="shared" si="58"/>
        <v>0</v>
      </c>
      <c r="AJ231" s="409">
        <f t="shared" si="58"/>
        <v>1</v>
      </c>
      <c r="AK231" s="409">
        <f t="shared" si="58"/>
        <v>0</v>
      </c>
      <c r="AN231" s="391">
        <v>13595</v>
      </c>
      <c r="AO231" s="423">
        <f t="shared" si="49"/>
        <v>0</v>
      </c>
    </row>
    <row r="232" spans="1:41">
      <c r="A232" s="391" t="s">
        <v>682</v>
      </c>
      <c r="B232" s="408">
        <v>37365</v>
      </c>
      <c r="C232" s="391" t="s">
        <v>989</v>
      </c>
      <c r="D232" s="391" t="s">
        <v>990</v>
      </c>
      <c r="E232" s="391" t="s">
        <v>539</v>
      </c>
      <c r="F232" s="391" t="s">
        <v>540</v>
      </c>
      <c r="G232" s="391">
        <v>5</v>
      </c>
      <c r="H232" s="392">
        <v>1643.57</v>
      </c>
      <c r="I232" s="392">
        <v>1643.57</v>
      </c>
      <c r="J232" s="392">
        <v>0</v>
      </c>
      <c r="K232" s="391" t="s">
        <v>515</v>
      </c>
      <c r="L232" s="391" t="s">
        <v>515</v>
      </c>
      <c r="O232" s="392">
        <f t="shared" si="61"/>
        <v>0</v>
      </c>
      <c r="P232" s="392">
        <f t="shared" si="61"/>
        <v>0</v>
      </c>
      <c r="Q232" s="392">
        <f t="shared" si="61"/>
        <v>0</v>
      </c>
      <c r="R232" s="392">
        <f t="shared" si="61"/>
        <v>1643.57</v>
      </c>
      <c r="S232" s="392">
        <f t="shared" si="61"/>
        <v>0</v>
      </c>
      <c r="U232" s="392">
        <f t="shared" si="52"/>
        <v>0</v>
      </c>
      <c r="V232" s="392">
        <f t="shared" si="52"/>
        <v>0</v>
      </c>
      <c r="W232" s="392">
        <f t="shared" si="52"/>
        <v>0</v>
      </c>
      <c r="X232" s="392">
        <f t="shared" si="52"/>
        <v>1643.57</v>
      </c>
      <c r="Y232" s="392">
        <f t="shared" si="52"/>
        <v>0</v>
      </c>
      <c r="AA232" s="392">
        <f t="shared" si="53"/>
        <v>0</v>
      </c>
      <c r="AB232" s="392">
        <f t="shared" si="53"/>
        <v>0</v>
      </c>
      <c r="AC232" s="392">
        <f t="shared" si="53"/>
        <v>0</v>
      </c>
      <c r="AD232" s="392">
        <f t="shared" si="53"/>
        <v>0</v>
      </c>
      <c r="AE232" s="392">
        <f t="shared" si="53"/>
        <v>0</v>
      </c>
      <c r="AG232" s="409">
        <f t="shared" si="58"/>
        <v>0</v>
      </c>
      <c r="AH232" s="409">
        <f t="shared" si="58"/>
        <v>0</v>
      </c>
      <c r="AI232" s="409">
        <f t="shared" si="58"/>
        <v>0</v>
      </c>
      <c r="AJ232" s="409">
        <f t="shared" si="58"/>
        <v>1</v>
      </c>
      <c r="AK232" s="409">
        <f t="shared" si="58"/>
        <v>0</v>
      </c>
      <c r="AN232" s="391">
        <v>1643.57</v>
      </c>
      <c r="AO232" s="423">
        <f t="shared" si="49"/>
        <v>0</v>
      </c>
    </row>
    <row r="233" spans="1:41">
      <c r="A233" s="391" t="s">
        <v>567</v>
      </c>
      <c r="B233" s="408">
        <v>37376</v>
      </c>
      <c r="C233" s="391" t="s">
        <v>991</v>
      </c>
      <c r="D233" s="391" t="s">
        <v>992</v>
      </c>
      <c r="E233" s="391" t="s">
        <v>539</v>
      </c>
      <c r="F233" s="391" t="s">
        <v>540</v>
      </c>
      <c r="G233" s="391">
        <v>30</v>
      </c>
      <c r="H233" s="392">
        <v>118044.92</v>
      </c>
      <c r="I233" s="392">
        <v>55087.62</v>
      </c>
      <c r="J233" s="392">
        <v>3934.83</v>
      </c>
      <c r="K233" s="391" t="s">
        <v>505</v>
      </c>
      <c r="L233" s="391" t="s">
        <v>505</v>
      </c>
      <c r="O233" s="392">
        <f t="shared" ref="O233:S235" si="62">IF(O$8=$K233,$H233,0)</f>
        <v>0</v>
      </c>
      <c r="P233" s="392">
        <f t="shared" si="62"/>
        <v>0</v>
      </c>
      <c r="Q233" s="392">
        <f t="shared" si="62"/>
        <v>118044.92</v>
      </c>
      <c r="R233" s="392">
        <f t="shared" si="62"/>
        <v>0</v>
      </c>
      <c r="S233" s="392">
        <f t="shared" si="62"/>
        <v>0</v>
      </c>
      <c r="U233" s="392">
        <f t="shared" si="52"/>
        <v>0</v>
      </c>
      <c r="V233" s="392">
        <f t="shared" si="52"/>
        <v>0</v>
      </c>
      <c r="W233" s="392">
        <f t="shared" si="52"/>
        <v>55087.62</v>
      </c>
      <c r="X233" s="392">
        <f t="shared" si="52"/>
        <v>0</v>
      </c>
      <c r="Y233" s="392">
        <f t="shared" si="52"/>
        <v>0</v>
      </c>
      <c r="AA233" s="392">
        <f t="shared" si="53"/>
        <v>0</v>
      </c>
      <c r="AB233" s="392">
        <f t="shared" si="53"/>
        <v>0</v>
      </c>
      <c r="AC233" s="392">
        <f t="shared" si="53"/>
        <v>3934.83</v>
      </c>
      <c r="AD233" s="392">
        <f t="shared" si="53"/>
        <v>0</v>
      </c>
      <c r="AE233" s="392">
        <f t="shared" si="53"/>
        <v>0</v>
      </c>
      <c r="AG233" s="409">
        <f t="shared" ref="AG233:AK235" si="63">IF($H233=0,0,O233/$H233)</f>
        <v>0</v>
      </c>
      <c r="AH233" s="409">
        <f t="shared" si="63"/>
        <v>0</v>
      </c>
      <c r="AI233" s="409">
        <f t="shared" si="63"/>
        <v>1</v>
      </c>
      <c r="AJ233" s="409">
        <f t="shared" si="63"/>
        <v>0</v>
      </c>
      <c r="AK233" s="409">
        <f t="shared" si="63"/>
        <v>0</v>
      </c>
      <c r="AN233" s="391">
        <v>118044.92</v>
      </c>
      <c r="AO233" s="423">
        <f t="shared" si="49"/>
        <v>0</v>
      </c>
    </row>
    <row r="234" spans="1:41">
      <c r="A234" s="391" t="s">
        <v>616</v>
      </c>
      <c r="B234" s="408">
        <v>37376</v>
      </c>
      <c r="C234" s="391" t="s">
        <v>993</v>
      </c>
      <c r="D234" s="391" t="s">
        <v>994</v>
      </c>
      <c r="E234" s="391" t="s">
        <v>539</v>
      </c>
      <c r="F234" s="391" t="s">
        <v>540</v>
      </c>
      <c r="G234" s="391">
        <v>25</v>
      </c>
      <c r="H234" s="392">
        <v>43386.239999999998</v>
      </c>
      <c r="I234" s="392">
        <v>23775.66</v>
      </c>
      <c r="J234" s="392">
        <v>1735.45</v>
      </c>
      <c r="K234" s="391" t="s">
        <v>505</v>
      </c>
      <c r="L234" s="391" t="s">
        <v>505</v>
      </c>
      <c r="O234" s="392">
        <f t="shared" si="62"/>
        <v>0</v>
      </c>
      <c r="P234" s="392">
        <f t="shared" si="62"/>
        <v>0</v>
      </c>
      <c r="Q234" s="392">
        <f t="shared" si="62"/>
        <v>43386.239999999998</v>
      </c>
      <c r="R234" s="392">
        <f t="shared" si="62"/>
        <v>0</v>
      </c>
      <c r="S234" s="392">
        <f t="shared" si="62"/>
        <v>0</v>
      </c>
      <c r="U234" s="392">
        <f t="shared" si="52"/>
        <v>0</v>
      </c>
      <c r="V234" s="392">
        <f t="shared" si="52"/>
        <v>0</v>
      </c>
      <c r="W234" s="392">
        <f t="shared" si="52"/>
        <v>23775.66</v>
      </c>
      <c r="X234" s="392">
        <f t="shared" si="52"/>
        <v>0</v>
      </c>
      <c r="Y234" s="392">
        <f t="shared" si="52"/>
        <v>0</v>
      </c>
      <c r="AA234" s="392">
        <f t="shared" si="53"/>
        <v>0</v>
      </c>
      <c r="AB234" s="392">
        <f t="shared" si="53"/>
        <v>0</v>
      </c>
      <c r="AC234" s="392">
        <f t="shared" si="53"/>
        <v>1735.45</v>
      </c>
      <c r="AD234" s="392">
        <f t="shared" si="53"/>
        <v>0</v>
      </c>
      <c r="AE234" s="392">
        <f t="shared" si="53"/>
        <v>0</v>
      </c>
      <c r="AG234" s="409">
        <f t="shared" si="63"/>
        <v>0</v>
      </c>
      <c r="AH234" s="409">
        <f t="shared" si="63"/>
        <v>0</v>
      </c>
      <c r="AI234" s="409">
        <f t="shared" si="63"/>
        <v>1</v>
      </c>
      <c r="AJ234" s="409">
        <f t="shared" si="63"/>
        <v>0</v>
      </c>
      <c r="AK234" s="409">
        <f t="shared" si="63"/>
        <v>0</v>
      </c>
      <c r="AN234" s="391">
        <v>43386.239999999998</v>
      </c>
      <c r="AO234" s="423">
        <f t="shared" si="49"/>
        <v>0</v>
      </c>
    </row>
    <row r="235" spans="1:41">
      <c r="A235" s="391" t="s">
        <v>585</v>
      </c>
      <c r="B235" s="408">
        <v>37376</v>
      </c>
      <c r="C235" s="391" t="s">
        <v>995</v>
      </c>
      <c r="D235" s="391" t="s">
        <v>996</v>
      </c>
      <c r="E235" s="391" t="s">
        <v>539</v>
      </c>
      <c r="F235" s="391" t="s">
        <v>540</v>
      </c>
      <c r="G235" s="391">
        <v>30</v>
      </c>
      <c r="H235" s="392">
        <v>98472.15</v>
      </c>
      <c r="I235" s="392">
        <v>45953.710000000006</v>
      </c>
      <c r="J235" s="392">
        <v>3282.41</v>
      </c>
      <c r="K235" s="391" t="s">
        <v>505</v>
      </c>
      <c r="L235" s="391" t="s">
        <v>505</v>
      </c>
      <c r="O235" s="392">
        <f t="shared" si="62"/>
        <v>0</v>
      </c>
      <c r="P235" s="392">
        <f t="shared" si="62"/>
        <v>0</v>
      </c>
      <c r="Q235" s="392">
        <f t="shared" si="62"/>
        <v>98472.15</v>
      </c>
      <c r="R235" s="392">
        <f t="shared" si="62"/>
        <v>0</v>
      </c>
      <c r="S235" s="392">
        <f t="shared" si="62"/>
        <v>0</v>
      </c>
      <c r="U235" s="392">
        <f t="shared" si="52"/>
        <v>0</v>
      </c>
      <c r="V235" s="392">
        <f t="shared" si="52"/>
        <v>0</v>
      </c>
      <c r="W235" s="392">
        <f t="shared" si="52"/>
        <v>45953.710000000006</v>
      </c>
      <c r="X235" s="392">
        <f t="shared" si="52"/>
        <v>0</v>
      </c>
      <c r="Y235" s="392">
        <f t="shared" si="52"/>
        <v>0</v>
      </c>
      <c r="AA235" s="392">
        <f t="shared" si="53"/>
        <v>0</v>
      </c>
      <c r="AB235" s="392">
        <f t="shared" si="53"/>
        <v>0</v>
      </c>
      <c r="AC235" s="392">
        <f t="shared" si="53"/>
        <v>3282.41</v>
      </c>
      <c r="AD235" s="392">
        <f t="shared" si="53"/>
        <v>0</v>
      </c>
      <c r="AE235" s="392">
        <f t="shared" si="53"/>
        <v>0</v>
      </c>
      <c r="AG235" s="409">
        <f t="shared" si="63"/>
        <v>0</v>
      </c>
      <c r="AH235" s="409">
        <f t="shared" si="63"/>
        <v>0</v>
      </c>
      <c r="AI235" s="409">
        <f t="shared" si="63"/>
        <v>1</v>
      </c>
      <c r="AJ235" s="409">
        <f t="shared" si="63"/>
        <v>0</v>
      </c>
      <c r="AK235" s="409">
        <f t="shared" si="63"/>
        <v>0</v>
      </c>
      <c r="AN235" s="391">
        <v>98472.15</v>
      </c>
      <c r="AO235" s="423">
        <f t="shared" si="49"/>
        <v>0</v>
      </c>
    </row>
    <row r="236" spans="1:41">
      <c r="A236" s="391" t="s">
        <v>585</v>
      </c>
      <c r="B236" s="408">
        <v>37376</v>
      </c>
      <c r="C236" s="391" t="s">
        <v>997</v>
      </c>
      <c r="D236" s="391" t="s">
        <v>998</v>
      </c>
      <c r="E236" s="391" t="s">
        <v>539</v>
      </c>
      <c r="F236" s="391" t="s">
        <v>540</v>
      </c>
      <c r="G236" s="391">
        <v>30</v>
      </c>
      <c r="H236" s="392">
        <v>338406.17</v>
      </c>
      <c r="I236" s="392">
        <v>157922.91</v>
      </c>
      <c r="J236" s="392">
        <v>11280.21</v>
      </c>
      <c r="K236" s="391" t="s">
        <v>505</v>
      </c>
      <c r="L236" s="391" t="s">
        <v>778</v>
      </c>
      <c r="O236" s="392">
        <f t="shared" ref="O236:S237" si="64">$H236*AG236</f>
        <v>0</v>
      </c>
      <c r="P236" s="392">
        <f t="shared" si="64"/>
        <v>0</v>
      </c>
      <c r="Q236" s="392">
        <f t="shared" si="64"/>
        <v>338406.17</v>
      </c>
      <c r="R236" s="392">
        <f t="shared" si="64"/>
        <v>0</v>
      </c>
      <c r="S236" s="392">
        <f t="shared" si="64"/>
        <v>0</v>
      </c>
      <c r="U236" s="392">
        <f t="shared" si="52"/>
        <v>0</v>
      </c>
      <c r="V236" s="392">
        <f t="shared" si="52"/>
        <v>0</v>
      </c>
      <c r="W236" s="392">
        <f t="shared" si="52"/>
        <v>157922.91</v>
      </c>
      <c r="X236" s="392">
        <f t="shared" si="52"/>
        <v>0</v>
      </c>
      <c r="Y236" s="392">
        <f t="shared" si="52"/>
        <v>0</v>
      </c>
      <c r="AA236" s="392">
        <f t="shared" si="53"/>
        <v>0</v>
      </c>
      <c r="AB236" s="392">
        <f t="shared" si="53"/>
        <v>0</v>
      </c>
      <c r="AC236" s="392">
        <f t="shared" si="53"/>
        <v>11280.21</v>
      </c>
      <c r="AD236" s="392">
        <f t="shared" si="53"/>
        <v>0</v>
      </c>
      <c r="AE236" s="392">
        <f t="shared" si="53"/>
        <v>0</v>
      </c>
      <c r="AG236" s="409">
        <v>0</v>
      </c>
      <c r="AH236" s="409">
        <v>0</v>
      </c>
      <c r="AI236" s="410">
        <v>1</v>
      </c>
      <c r="AJ236" s="409">
        <v>0</v>
      </c>
      <c r="AK236" s="409">
        <v>0</v>
      </c>
      <c r="AN236" s="391">
        <v>338406.17</v>
      </c>
      <c r="AO236" s="423">
        <f t="shared" si="49"/>
        <v>0</v>
      </c>
    </row>
    <row r="237" spans="1:41">
      <c r="A237" s="391" t="s">
        <v>585</v>
      </c>
      <c r="B237" s="408">
        <v>37376</v>
      </c>
      <c r="C237" s="391" t="s">
        <v>997</v>
      </c>
      <c r="D237" s="391" t="s">
        <v>999</v>
      </c>
      <c r="E237" s="391" t="s">
        <v>539</v>
      </c>
      <c r="F237" s="391" t="s">
        <v>540</v>
      </c>
      <c r="G237" s="391">
        <v>30</v>
      </c>
      <c r="H237" s="392">
        <v>125392.21</v>
      </c>
      <c r="I237" s="392">
        <v>58516.36</v>
      </c>
      <c r="J237" s="392">
        <v>4179.74</v>
      </c>
      <c r="K237" s="391" t="s">
        <v>505</v>
      </c>
      <c r="L237" s="391" t="s">
        <v>778</v>
      </c>
      <c r="O237" s="392">
        <f t="shared" si="64"/>
        <v>0</v>
      </c>
      <c r="P237" s="392">
        <f t="shared" si="64"/>
        <v>0</v>
      </c>
      <c r="Q237" s="392">
        <f t="shared" si="64"/>
        <v>125392.21</v>
      </c>
      <c r="R237" s="392">
        <f t="shared" si="64"/>
        <v>0</v>
      </c>
      <c r="S237" s="392">
        <f t="shared" si="64"/>
        <v>0</v>
      </c>
      <c r="U237" s="392">
        <f t="shared" si="52"/>
        <v>0</v>
      </c>
      <c r="V237" s="392">
        <f t="shared" si="52"/>
        <v>0</v>
      </c>
      <c r="W237" s="392">
        <f t="shared" si="52"/>
        <v>58516.36</v>
      </c>
      <c r="X237" s="392">
        <f t="shared" si="52"/>
        <v>0</v>
      </c>
      <c r="Y237" s="392">
        <f t="shared" si="52"/>
        <v>0</v>
      </c>
      <c r="AA237" s="392">
        <f t="shared" si="53"/>
        <v>0</v>
      </c>
      <c r="AB237" s="392">
        <f t="shared" si="53"/>
        <v>0</v>
      </c>
      <c r="AC237" s="392">
        <f t="shared" si="53"/>
        <v>4179.74</v>
      </c>
      <c r="AD237" s="392">
        <f t="shared" si="53"/>
        <v>0</v>
      </c>
      <c r="AE237" s="392">
        <f t="shared" si="53"/>
        <v>0</v>
      </c>
      <c r="AG237" s="409">
        <v>0</v>
      </c>
      <c r="AH237" s="409">
        <v>0</v>
      </c>
      <c r="AI237" s="410">
        <v>1</v>
      </c>
      <c r="AJ237" s="409">
        <v>0</v>
      </c>
      <c r="AK237" s="409">
        <v>0</v>
      </c>
      <c r="AN237" s="391">
        <v>125392.21</v>
      </c>
      <c r="AO237" s="423">
        <f t="shared" si="49"/>
        <v>0</v>
      </c>
    </row>
    <row r="238" spans="1:41">
      <c r="A238" s="391" t="s">
        <v>572</v>
      </c>
      <c r="B238" s="408">
        <v>37376</v>
      </c>
      <c r="C238" s="391" t="s">
        <v>1000</v>
      </c>
      <c r="D238" s="391" t="s">
        <v>1001</v>
      </c>
      <c r="E238" s="391" t="s">
        <v>539</v>
      </c>
      <c r="F238" s="391" t="s">
        <v>540</v>
      </c>
      <c r="G238" s="391">
        <v>30</v>
      </c>
      <c r="H238" s="392">
        <v>343096.07</v>
      </c>
      <c r="I238" s="392">
        <v>160111.53</v>
      </c>
      <c r="J238" s="392">
        <v>11436.54</v>
      </c>
      <c r="K238" s="391" t="s">
        <v>505</v>
      </c>
      <c r="L238" s="391" t="s">
        <v>505</v>
      </c>
      <c r="O238" s="392">
        <f t="shared" ref="O238:S249" si="65">IF(O$8=$K238,$H238,0)</f>
        <v>0</v>
      </c>
      <c r="P238" s="392">
        <f t="shared" si="65"/>
        <v>0</v>
      </c>
      <c r="Q238" s="392">
        <f t="shared" si="65"/>
        <v>343096.07</v>
      </c>
      <c r="R238" s="392">
        <f t="shared" si="65"/>
        <v>0</v>
      </c>
      <c r="S238" s="392">
        <f t="shared" si="65"/>
        <v>0</v>
      </c>
      <c r="U238" s="392">
        <f t="shared" ref="U238:Y286" si="66">$I238*AG238</f>
        <v>0</v>
      </c>
      <c r="V238" s="392">
        <f t="shared" si="66"/>
        <v>0</v>
      </c>
      <c r="W238" s="392">
        <f t="shared" si="66"/>
        <v>160111.53</v>
      </c>
      <c r="X238" s="392">
        <f t="shared" si="66"/>
        <v>0</v>
      </c>
      <c r="Y238" s="392">
        <f t="shared" si="66"/>
        <v>0</v>
      </c>
      <c r="AA238" s="392">
        <f t="shared" ref="AA238:AE286" si="67">$J238*AG238</f>
        <v>0</v>
      </c>
      <c r="AB238" s="392">
        <f t="shared" si="67"/>
        <v>0</v>
      </c>
      <c r="AC238" s="392">
        <f t="shared" si="67"/>
        <v>11436.54</v>
      </c>
      <c r="AD238" s="392">
        <f t="shared" si="67"/>
        <v>0</v>
      </c>
      <c r="AE238" s="392">
        <f t="shared" si="67"/>
        <v>0</v>
      </c>
      <c r="AG238" s="409">
        <f t="shared" ref="AG238:AK249" si="68">IF($H238=0,0,O238/$H238)</f>
        <v>0</v>
      </c>
      <c r="AH238" s="409">
        <f t="shared" si="68"/>
        <v>0</v>
      </c>
      <c r="AI238" s="409">
        <f t="shared" si="68"/>
        <v>1</v>
      </c>
      <c r="AJ238" s="409">
        <f t="shared" si="68"/>
        <v>0</v>
      </c>
      <c r="AK238" s="409">
        <f t="shared" si="68"/>
        <v>0</v>
      </c>
      <c r="AN238" s="391">
        <v>343096.07</v>
      </c>
      <c r="AO238" s="423">
        <f t="shared" si="49"/>
        <v>0</v>
      </c>
    </row>
    <row r="239" spans="1:41">
      <c r="A239" s="391" t="s">
        <v>632</v>
      </c>
      <c r="B239" s="408">
        <v>37505</v>
      </c>
      <c r="C239" s="391" t="s">
        <v>1002</v>
      </c>
      <c r="D239" s="391" t="s">
        <v>1003</v>
      </c>
      <c r="E239" s="391" t="s">
        <v>539</v>
      </c>
      <c r="F239" s="391" t="s">
        <v>540</v>
      </c>
      <c r="G239" s="391">
        <v>5</v>
      </c>
      <c r="H239" s="392">
        <v>908</v>
      </c>
      <c r="I239" s="392">
        <v>908</v>
      </c>
      <c r="J239" s="392">
        <v>0</v>
      </c>
      <c r="K239" s="391" t="s">
        <v>515</v>
      </c>
      <c r="L239" s="391" t="s">
        <v>515</v>
      </c>
      <c r="O239" s="392">
        <f t="shared" si="65"/>
        <v>0</v>
      </c>
      <c r="P239" s="392">
        <f t="shared" si="65"/>
        <v>0</v>
      </c>
      <c r="Q239" s="392">
        <f t="shared" si="65"/>
        <v>0</v>
      </c>
      <c r="R239" s="392">
        <f t="shared" si="65"/>
        <v>908</v>
      </c>
      <c r="S239" s="392">
        <f t="shared" si="65"/>
        <v>0</v>
      </c>
      <c r="U239" s="392">
        <f t="shared" si="66"/>
        <v>0</v>
      </c>
      <c r="V239" s="392">
        <f t="shared" si="66"/>
        <v>0</v>
      </c>
      <c r="W239" s="392">
        <f t="shared" si="66"/>
        <v>0</v>
      </c>
      <c r="X239" s="392">
        <f t="shared" si="66"/>
        <v>908</v>
      </c>
      <c r="Y239" s="392">
        <f t="shared" si="66"/>
        <v>0</v>
      </c>
      <c r="AA239" s="392">
        <f t="shared" si="67"/>
        <v>0</v>
      </c>
      <c r="AB239" s="392">
        <f t="shared" si="67"/>
        <v>0</v>
      </c>
      <c r="AC239" s="392">
        <f t="shared" si="67"/>
        <v>0</v>
      </c>
      <c r="AD239" s="392">
        <f t="shared" si="67"/>
        <v>0</v>
      </c>
      <c r="AE239" s="392">
        <f t="shared" si="67"/>
        <v>0</v>
      </c>
      <c r="AG239" s="409">
        <f t="shared" si="68"/>
        <v>0</v>
      </c>
      <c r="AH239" s="409">
        <f t="shared" si="68"/>
        <v>0</v>
      </c>
      <c r="AI239" s="409">
        <f t="shared" si="68"/>
        <v>0</v>
      </c>
      <c r="AJ239" s="409">
        <f t="shared" si="68"/>
        <v>1</v>
      </c>
      <c r="AK239" s="409">
        <f t="shared" si="68"/>
        <v>0</v>
      </c>
      <c r="AN239" s="391">
        <v>908</v>
      </c>
      <c r="AO239" s="423">
        <f t="shared" si="49"/>
        <v>0</v>
      </c>
    </row>
    <row r="240" spans="1:41">
      <c r="A240" s="391" t="s">
        <v>982</v>
      </c>
      <c r="B240" s="408">
        <v>37533</v>
      </c>
      <c r="C240" s="391" t="s">
        <v>1004</v>
      </c>
      <c r="D240" s="391" t="s">
        <v>1005</v>
      </c>
      <c r="E240" s="391" t="s">
        <v>539</v>
      </c>
      <c r="F240" s="391" t="s">
        <v>540</v>
      </c>
      <c r="G240" s="391">
        <v>5</v>
      </c>
      <c r="H240" s="392">
        <v>24910</v>
      </c>
      <c r="I240" s="392">
        <v>24910</v>
      </c>
      <c r="J240" s="392">
        <v>0</v>
      </c>
      <c r="K240" s="391" t="s">
        <v>504</v>
      </c>
      <c r="L240" s="391" t="s">
        <v>504</v>
      </c>
      <c r="O240" s="392">
        <f t="shared" si="65"/>
        <v>24910</v>
      </c>
      <c r="P240" s="392">
        <f t="shared" si="65"/>
        <v>0</v>
      </c>
      <c r="Q240" s="392">
        <f t="shared" si="65"/>
        <v>0</v>
      </c>
      <c r="R240" s="392">
        <f t="shared" si="65"/>
        <v>0</v>
      </c>
      <c r="S240" s="392">
        <f t="shared" si="65"/>
        <v>0</v>
      </c>
      <c r="U240" s="392">
        <f t="shared" si="66"/>
        <v>24910</v>
      </c>
      <c r="V240" s="392">
        <f t="shared" si="66"/>
        <v>0</v>
      </c>
      <c r="W240" s="392">
        <f t="shared" si="66"/>
        <v>0</v>
      </c>
      <c r="X240" s="392">
        <f t="shared" si="66"/>
        <v>0</v>
      </c>
      <c r="Y240" s="392">
        <f t="shared" si="66"/>
        <v>0</v>
      </c>
      <c r="AA240" s="392">
        <f t="shared" si="67"/>
        <v>0</v>
      </c>
      <c r="AB240" s="392">
        <f t="shared" si="67"/>
        <v>0</v>
      </c>
      <c r="AC240" s="392">
        <f t="shared" si="67"/>
        <v>0</v>
      </c>
      <c r="AD240" s="392">
        <f t="shared" si="67"/>
        <v>0</v>
      </c>
      <c r="AE240" s="392">
        <f t="shared" si="67"/>
        <v>0</v>
      </c>
      <c r="AG240" s="409">
        <f t="shared" si="68"/>
        <v>1</v>
      </c>
      <c r="AH240" s="409">
        <f t="shared" si="68"/>
        <v>0</v>
      </c>
      <c r="AI240" s="409">
        <f t="shared" si="68"/>
        <v>0</v>
      </c>
      <c r="AJ240" s="409">
        <f t="shared" si="68"/>
        <v>0</v>
      </c>
      <c r="AK240" s="409">
        <f t="shared" si="68"/>
        <v>0</v>
      </c>
      <c r="AN240" s="391">
        <v>24910</v>
      </c>
      <c r="AO240" s="423">
        <f t="shared" ref="AO240:AO302" si="69">H240-AN240</f>
        <v>0</v>
      </c>
    </row>
    <row r="241" spans="1:41">
      <c r="A241" s="391" t="s">
        <v>632</v>
      </c>
      <c r="B241" s="408">
        <v>37533</v>
      </c>
      <c r="C241" s="391" t="s">
        <v>1006</v>
      </c>
      <c r="D241" s="391" t="s">
        <v>1007</v>
      </c>
      <c r="E241" s="391" t="s">
        <v>539</v>
      </c>
      <c r="F241" s="391" t="s">
        <v>540</v>
      </c>
      <c r="G241" s="391">
        <v>5</v>
      </c>
      <c r="H241" s="392">
        <v>11906.36</v>
      </c>
      <c r="I241" s="392">
        <v>11906.36</v>
      </c>
      <c r="J241" s="392">
        <v>0</v>
      </c>
      <c r="K241" s="391" t="s">
        <v>515</v>
      </c>
      <c r="L241" s="391" t="s">
        <v>515</v>
      </c>
      <c r="O241" s="392">
        <f t="shared" si="65"/>
        <v>0</v>
      </c>
      <c r="P241" s="392">
        <f t="shared" si="65"/>
        <v>0</v>
      </c>
      <c r="Q241" s="392">
        <f t="shared" si="65"/>
        <v>0</v>
      </c>
      <c r="R241" s="392">
        <f t="shared" si="65"/>
        <v>11906.36</v>
      </c>
      <c r="S241" s="392">
        <f t="shared" si="65"/>
        <v>0</v>
      </c>
      <c r="U241" s="392">
        <f t="shared" si="66"/>
        <v>0</v>
      </c>
      <c r="V241" s="392">
        <f t="shared" si="66"/>
        <v>0</v>
      </c>
      <c r="W241" s="392">
        <f t="shared" si="66"/>
        <v>0</v>
      </c>
      <c r="X241" s="392">
        <f t="shared" si="66"/>
        <v>11906.36</v>
      </c>
      <c r="Y241" s="392">
        <f t="shared" si="66"/>
        <v>0</v>
      </c>
      <c r="AA241" s="392">
        <f t="shared" si="67"/>
        <v>0</v>
      </c>
      <c r="AB241" s="392">
        <f t="shared" si="67"/>
        <v>0</v>
      </c>
      <c r="AC241" s="392">
        <f t="shared" si="67"/>
        <v>0</v>
      </c>
      <c r="AD241" s="392">
        <f t="shared" si="67"/>
        <v>0</v>
      </c>
      <c r="AE241" s="392">
        <f t="shared" si="67"/>
        <v>0</v>
      </c>
      <c r="AG241" s="409">
        <f t="shared" si="68"/>
        <v>0</v>
      </c>
      <c r="AH241" s="409">
        <f t="shared" si="68"/>
        <v>0</v>
      </c>
      <c r="AI241" s="409">
        <f t="shared" si="68"/>
        <v>0</v>
      </c>
      <c r="AJ241" s="409">
        <f t="shared" si="68"/>
        <v>1</v>
      </c>
      <c r="AK241" s="409">
        <f t="shared" si="68"/>
        <v>0</v>
      </c>
      <c r="AN241" s="391">
        <v>11906.36</v>
      </c>
      <c r="AO241" s="423">
        <f t="shared" si="69"/>
        <v>0</v>
      </c>
    </row>
    <row r="242" spans="1:41">
      <c r="A242" s="391" t="s">
        <v>632</v>
      </c>
      <c r="B242" s="408">
        <v>37575</v>
      </c>
      <c r="C242" s="391" t="s">
        <v>1008</v>
      </c>
      <c r="D242" s="391" t="s">
        <v>1009</v>
      </c>
      <c r="E242" s="391" t="s">
        <v>539</v>
      </c>
      <c r="F242" s="391" t="s">
        <v>540</v>
      </c>
      <c r="G242" s="391">
        <v>5</v>
      </c>
      <c r="H242" s="392">
        <v>1663</v>
      </c>
      <c r="I242" s="392">
        <v>1663</v>
      </c>
      <c r="J242" s="392">
        <v>0</v>
      </c>
      <c r="K242" s="391" t="s">
        <v>515</v>
      </c>
      <c r="L242" s="391" t="s">
        <v>515</v>
      </c>
      <c r="O242" s="392">
        <f t="shared" si="65"/>
        <v>0</v>
      </c>
      <c r="P242" s="392">
        <f t="shared" si="65"/>
        <v>0</v>
      </c>
      <c r="Q242" s="392">
        <f t="shared" si="65"/>
        <v>0</v>
      </c>
      <c r="R242" s="392">
        <f t="shared" si="65"/>
        <v>1663</v>
      </c>
      <c r="S242" s="392">
        <f t="shared" si="65"/>
        <v>0</v>
      </c>
      <c r="U242" s="392">
        <f t="shared" si="66"/>
        <v>0</v>
      </c>
      <c r="V242" s="392">
        <f t="shared" si="66"/>
        <v>0</v>
      </c>
      <c r="W242" s="392">
        <f t="shared" si="66"/>
        <v>0</v>
      </c>
      <c r="X242" s="392">
        <f t="shared" si="66"/>
        <v>1663</v>
      </c>
      <c r="Y242" s="392">
        <f t="shared" si="66"/>
        <v>0</v>
      </c>
      <c r="AA242" s="392">
        <f t="shared" si="67"/>
        <v>0</v>
      </c>
      <c r="AB242" s="392">
        <f t="shared" si="67"/>
        <v>0</v>
      </c>
      <c r="AC242" s="392">
        <f t="shared" si="67"/>
        <v>0</v>
      </c>
      <c r="AD242" s="392">
        <f t="shared" si="67"/>
        <v>0</v>
      </c>
      <c r="AE242" s="392">
        <f t="shared" si="67"/>
        <v>0</v>
      </c>
      <c r="AG242" s="409">
        <f t="shared" si="68"/>
        <v>0</v>
      </c>
      <c r="AH242" s="409">
        <f t="shared" si="68"/>
        <v>0</v>
      </c>
      <c r="AI242" s="409">
        <f t="shared" si="68"/>
        <v>0</v>
      </c>
      <c r="AJ242" s="409">
        <f t="shared" si="68"/>
        <v>1</v>
      </c>
      <c r="AK242" s="409">
        <f t="shared" si="68"/>
        <v>0</v>
      </c>
      <c r="AN242" s="391">
        <v>1663</v>
      </c>
      <c r="AO242" s="423">
        <f t="shared" si="69"/>
        <v>0</v>
      </c>
    </row>
    <row r="243" spans="1:41">
      <c r="A243" s="391" t="s">
        <v>682</v>
      </c>
      <c r="B243" s="408">
        <v>37659</v>
      </c>
      <c r="C243" s="391" t="s">
        <v>1010</v>
      </c>
      <c r="D243" s="391" t="s">
        <v>1011</v>
      </c>
      <c r="E243" s="391" t="s">
        <v>539</v>
      </c>
      <c r="F243" s="391" t="s">
        <v>540</v>
      </c>
      <c r="G243" s="391">
        <v>5</v>
      </c>
      <c r="H243" s="392">
        <v>1643</v>
      </c>
      <c r="I243" s="392">
        <v>1643</v>
      </c>
      <c r="J243" s="392">
        <v>0</v>
      </c>
      <c r="K243" s="391" t="s">
        <v>515</v>
      </c>
      <c r="L243" s="391" t="s">
        <v>515</v>
      </c>
      <c r="O243" s="392">
        <f t="shared" si="65"/>
        <v>0</v>
      </c>
      <c r="P243" s="392">
        <f t="shared" si="65"/>
        <v>0</v>
      </c>
      <c r="Q243" s="392">
        <f t="shared" si="65"/>
        <v>0</v>
      </c>
      <c r="R243" s="392">
        <f t="shared" si="65"/>
        <v>1643</v>
      </c>
      <c r="S243" s="392">
        <f t="shared" si="65"/>
        <v>0</v>
      </c>
      <c r="U243" s="392">
        <f t="shared" si="66"/>
        <v>0</v>
      </c>
      <c r="V243" s="392">
        <f t="shared" si="66"/>
        <v>0</v>
      </c>
      <c r="W243" s="392">
        <f t="shared" si="66"/>
        <v>0</v>
      </c>
      <c r="X243" s="392">
        <f t="shared" si="66"/>
        <v>1643</v>
      </c>
      <c r="Y243" s="392">
        <f t="shared" si="66"/>
        <v>0</v>
      </c>
      <c r="AA243" s="392">
        <f t="shared" si="67"/>
        <v>0</v>
      </c>
      <c r="AB243" s="392">
        <f t="shared" si="67"/>
        <v>0</v>
      </c>
      <c r="AC243" s="392">
        <f t="shared" si="67"/>
        <v>0</v>
      </c>
      <c r="AD243" s="392">
        <f t="shared" si="67"/>
        <v>0</v>
      </c>
      <c r="AE243" s="392">
        <f t="shared" si="67"/>
        <v>0</v>
      </c>
      <c r="AG243" s="409">
        <f t="shared" si="68"/>
        <v>0</v>
      </c>
      <c r="AH243" s="409">
        <f t="shared" si="68"/>
        <v>0</v>
      </c>
      <c r="AI243" s="409">
        <f t="shared" si="68"/>
        <v>0</v>
      </c>
      <c r="AJ243" s="409">
        <f t="shared" si="68"/>
        <v>1</v>
      </c>
      <c r="AK243" s="409">
        <f t="shared" si="68"/>
        <v>0</v>
      </c>
      <c r="AN243" s="391">
        <v>1643</v>
      </c>
      <c r="AO243" s="423">
        <f t="shared" si="69"/>
        <v>0</v>
      </c>
    </row>
    <row r="244" spans="1:41">
      <c r="A244" s="391" t="s">
        <v>632</v>
      </c>
      <c r="B244" s="408">
        <v>37687</v>
      </c>
      <c r="C244" s="391" t="s">
        <v>1012</v>
      </c>
      <c r="D244" s="391" t="s">
        <v>1013</v>
      </c>
      <c r="E244" s="391" t="s">
        <v>539</v>
      </c>
      <c r="F244" s="391" t="s">
        <v>540</v>
      </c>
      <c r="G244" s="391">
        <v>5</v>
      </c>
      <c r="H244" s="392">
        <v>0</v>
      </c>
      <c r="I244" s="392">
        <v>0</v>
      </c>
      <c r="J244" s="392">
        <v>0</v>
      </c>
      <c r="K244" s="391" t="s">
        <v>515</v>
      </c>
      <c r="L244" s="391" t="s">
        <v>515</v>
      </c>
      <c r="O244" s="392">
        <f t="shared" si="65"/>
        <v>0</v>
      </c>
      <c r="P244" s="392">
        <f t="shared" si="65"/>
        <v>0</v>
      </c>
      <c r="Q244" s="392">
        <f t="shared" si="65"/>
        <v>0</v>
      </c>
      <c r="R244" s="392">
        <f t="shared" si="65"/>
        <v>0</v>
      </c>
      <c r="S244" s="392">
        <f t="shared" si="65"/>
        <v>0</v>
      </c>
      <c r="U244" s="392">
        <f t="shared" si="66"/>
        <v>0</v>
      </c>
      <c r="V244" s="392">
        <f t="shared" si="66"/>
        <v>0</v>
      </c>
      <c r="W244" s="392">
        <f t="shared" si="66"/>
        <v>0</v>
      </c>
      <c r="X244" s="392">
        <f t="shared" si="66"/>
        <v>0</v>
      </c>
      <c r="Y244" s="392">
        <f t="shared" si="66"/>
        <v>0</v>
      </c>
      <c r="AA244" s="392">
        <f t="shared" si="67"/>
        <v>0</v>
      </c>
      <c r="AB244" s="392">
        <f t="shared" si="67"/>
        <v>0</v>
      </c>
      <c r="AC244" s="392">
        <f t="shared" si="67"/>
        <v>0</v>
      </c>
      <c r="AD244" s="392">
        <f t="shared" si="67"/>
        <v>0</v>
      </c>
      <c r="AE244" s="392">
        <f t="shared" si="67"/>
        <v>0</v>
      </c>
      <c r="AG244" s="409">
        <f t="shared" si="68"/>
        <v>0</v>
      </c>
      <c r="AH244" s="409">
        <f t="shared" si="68"/>
        <v>0</v>
      </c>
      <c r="AI244" s="409">
        <f t="shared" si="68"/>
        <v>0</v>
      </c>
      <c r="AJ244" s="409">
        <f t="shared" si="68"/>
        <v>0</v>
      </c>
      <c r="AK244" s="409">
        <f t="shared" si="68"/>
        <v>0</v>
      </c>
      <c r="AN244" s="391">
        <v>0</v>
      </c>
      <c r="AO244" s="423">
        <f t="shared" si="69"/>
        <v>0</v>
      </c>
    </row>
    <row r="245" spans="1:41">
      <c r="A245" s="391" t="s">
        <v>632</v>
      </c>
      <c r="B245" s="408">
        <v>37715</v>
      </c>
      <c r="C245" s="391" t="s">
        <v>1014</v>
      </c>
      <c r="D245" s="391" t="s">
        <v>1015</v>
      </c>
      <c r="E245" s="391" t="s">
        <v>539</v>
      </c>
      <c r="F245" s="391" t="s">
        <v>540</v>
      </c>
      <c r="G245" s="391">
        <v>5</v>
      </c>
      <c r="H245" s="392">
        <v>1155.94</v>
      </c>
      <c r="I245" s="392">
        <v>1155.94</v>
      </c>
      <c r="J245" s="392">
        <v>0</v>
      </c>
      <c r="K245" s="391" t="s">
        <v>515</v>
      </c>
      <c r="L245" s="391" t="s">
        <v>515</v>
      </c>
      <c r="O245" s="392">
        <f t="shared" si="65"/>
        <v>0</v>
      </c>
      <c r="P245" s="392">
        <f t="shared" si="65"/>
        <v>0</v>
      </c>
      <c r="Q245" s="392">
        <f t="shared" si="65"/>
        <v>0</v>
      </c>
      <c r="R245" s="392">
        <f t="shared" si="65"/>
        <v>1155.94</v>
      </c>
      <c r="S245" s="392">
        <f t="shared" si="65"/>
        <v>0</v>
      </c>
      <c r="U245" s="392">
        <f t="shared" si="66"/>
        <v>0</v>
      </c>
      <c r="V245" s="392">
        <f t="shared" si="66"/>
        <v>0</v>
      </c>
      <c r="W245" s="392">
        <f t="shared" si="66"/>
        <v>0</v>
      </c>
      <c r="X245" s="392">
        <f t="shared" si="66"/>
        <v>1155.94</v>
      </c>
      <c r="Y245" s="392">
        <f t="shared" si="66"/>
        <v>0</v>
      </c>
      <c r="AA245" s="392">
        <f t="shared" si="67"/>
        <v>0</v>
      </c>
      <c r="AB245" s="392">
        <f t="shared" si="67"/>
        <v>0</v>
      </c>
      <c r="AC245" s="392">
        <f t="shared" si="67"/>
        <v>0</v>
      </c>
      <c r="AD245" s="392">
        <f t="shared" si="67"/>
        <v>0</v>
      </c>
      <c r="AE245" s="392">
        <f t="shared" si="67"/>
        <v>0</v>
      </c>
      <c r="AG245" s="409">
        <f t="shared" si="68"/>
        <v>0</v>
      </c>
      <c r="AH245" s="409">
        <f t="shared" si="68"/>
        <v>0</v>
      </c>
      <c r="AI245" s="409">
        <f t="shared" si="68"/>
        <v>0</v>
      </c>
      <c r="AJ245" s="409">
        <f t="shared" si="68"/>
        <v>1</v>
      </c>
      <c r="AK245" s="409">
        <f t="shared" si="68"/>
        <v>0</v>
      </c>
      <c r="AN245" s="391">
        <v>1155.94</v>
      </c>
      <c r="AO245" s="423">
        <f t="shared" si="69"/>
        <v>0</v>
      </c>
    </row>
    <row r="246" spans="1:41">
      <c r="A246" s="391" t="s">
        <v>632</v>
      </c>
      <c r="B246" s="408">
        <v>37715</v>
      </c>
      <c r="C246" s="391" t="s">
        <v>1016</v>
      </c>
      <c r="D246" s="391" t="s">
        <v>1017</v>
      </c>
      <c r="E246" s="391" t="s">
        <v>539</v>
      </c>
      <c r="F246" s="391" t="s">
        <v>540</v>
      </c>
      <c r="G246" s="391">
        <v>5</v>
      </c>
      <c r="H246" s="392">
        <v>1338.65</v>
      </c>
      <c r="I246" s="392">
        <v>1338.65</v>
      </c>
      <c r="J246" s="392">
        <v>0</v>
      </c>
      <c r="K246" s="391" t="s">
        <v>515</v>
      </c>
      <c r="L246" s="391" t="s">
        <v>515</v>
      </c>
      <c r="O246" s="392">
        <f t="shared" si="65"/>
        <v>0</v>
      </c>
      <c r="P246" s="392">
        <f t="shared" si="65"/>
        <v>0</v>
      </c>
      <c r="Q246" s="392">
        <f t="shared" si="65"/>
        <v>0</v>
      </c>
      <c r="R246" s="392">
        <f t="shared" si="65"/>
        <v>1338.65</v>
      </c>
      <c r="S246" s="392">
        <f t="shared" si="65"/>
        <v>0</v>
      </c>
      <c r="U246" s="392">
        <f t="shared" si="66"/>
        <v>0</v>
      </c>
      <c r="V246" s="392">
        <f t="shared" si="66"/>
        <v>0</v>
      </c>
      <c r="W246" s="392">
        <f t="shared" si="66"/>
        <v>0</v>
      </c>
      <c r="X246" s="392">
        <f t="shared" si="66"/>
        <v>1338.65</v>
      </c>
      <c r="Y246" s="392">
        <f t="shared" si="66"/>
        <v>0</v>
      </c>
      <c r="AA246" s="392">
        <f t="shared" si="67"/>
        <v>0</v>
      </c>
      <c r="AB246" s="392">
        <f t="shared" si="67"/>
        <v>0</v>
      </c>
      <c r="AC246" s="392">
        <f t="shared" si="67"/>
        <v>0</v>
      </c>
      <c r="AD246" s="392">
        <f t="shared" si="67"/>
        <v>0</v>
      </c>
      <c r="AE246" s="392">
        <f t="shared" si="67"/>
        <v>0</v>
      </c>
      <c r="AG246" s="409">
        <f t="shared" si="68"/>
        <v>0</v>
      </c>
      <c r="AH246" s="409">
        <f t="shared" si="68"/>
        <v>0</v>
      </c>
      <c r="AI246" s="409">
        <f t="shared" si="68"/>
        <v>0</v>
      </c>
      <c r="AJ246" s="409">
        <f t="shared" si="68"/>
        <v>1</v>
      </c>
      <c r="AK246" s="409">
        <f t="shared" si="68"/>
        <v>0</v>
      </c>
      <c r="AN246" s="391">
        <v>1338.65</v>
      </c>
      <c r="AO246" s="423">
        <f t="shared" si="69"/>
        <v>0</v>
      </c>
    </row>
    <row r="247" spans="1:41">
      <c r="A247" s="391" t="s">
        <v>682</v>
      </c>
      <c r="B247" s="408">
        <v>37715</v>
      </c>
      <c r="C247" s="391" t="s">
        <v>1018</v>
      </c>
      <c r="D247" s="391" t="s">
        <v>1019</v>
      </c>
      <c r="E247" s="391" t="s">
        <v>539</v>
      </c>
      <c r="F247" s="391" t="s">
        <v>540</v>
      </c>
      <c r="G247" s="391">
        <v>5</v>
      </c>
      <c r="H247" s="392">
        <v>2191.98</v>
      </c>
      <c r="I247" s="392">
        <v>2191.98</v>
      </c>
      <c r="J247" s="392">
        <v>0</v>
      </c>
      <c r="K247" s="391" t="s">
        <v>515</v>
      </c>
      <c r="L247" s="391" t="s">
        <v>515</v>
      </c>
      <c r="O247" s="392">
        <f t="shared" si="65"/>
        <v>0</v>
      </c>
      <c r="P247" s="392">
        <f t="shared" si="65"/>
        <v>0</v>
      </c>
      <c r="Q247" s="392">
        <f t="shared" si="65"/>
        <v>0</v>
      </c>
      <c r="R247" s="392">
        <f t="shared" si="65"/>
        <v>2191.98</v>
      </c>
      <c r="S247" s="392">
        <f t="shared" si="65"/>
        <v>0</v>
      </c>
      <c r="U247" s="392">
        <f t="shared" si="66"/>
        <v>0</v>
      </c>
      <c r="V247" s="392">
        <f t="shared" si="66"/>
        <v>0</v>
      </c>
      <c r="W247" s="392">
        <f t="shared" si="66"/>
        <v>0</v>
      </c>
      <c r="X247" s="392">
        <f t="shared" si="66"/>
        <v>2191.98</v>
      </c>
      <c r="Y247" s="392">
        <f t="shared" si="66"/>
        <v>0</v>
      </c>
      <c r="AA247" s="392">
        <f t="shared" si="67"/>
        <v>0</v>
      </c>
      <c r="AB247" s="392">
        <f t="shared" si="67"/>
        <v>0</v>
      </c>
      <c r="AC247" s="392">
        <f t="shared" si="67"/>
        <v>0</v>
      </c>
      <c r="AD247" s="392">
        <f t="shared" si="67"/>
        <v>0</v>
      </c>
      <c r="AE247" s="392">
        <f t="shared" si="67"/>
        <v>0</v>
      </c>
      <c r="AG247" s="409">
        <f t="shared" si="68"/>
        <v>0</v>
      </c>
      <c r="AH247" s="409">
        <f t="shared" si="68"/>
        <v>0</v>
      </c>
      <c r="AI247" s="409">
        <f t="shared" si="68"/>
        <v>0</v>
      </c>
      <c r="AJ247" s="409">
        <f t="shared" si="68"/>
        <v>1</v>
      </c>
      <c r="AK247" s="409">
        <f t="shared" si="68"/>
        <v>0</v>
      </c>
      <c r="AN247" s="391">
        <v>2191.98</v>
      </c>
      <c r="AO247" s="423">
        <f t="shared" si="69"/>
        <v>0</v>
      </c>
    </row>
    <row r="248" spans="1:41">
      <c r="A248" s="391" t="s">
        <v>567</v>
      </c>
      <c r="B248" s="408">
        <v>37741</v>
      </c>
      <c r="C248" s="391" t="s">
        <v>1020</v>
      </c>
      <c r="D248" s="391" t="s">
        <v>913</v>
      </c>
      <c r="E248" s="391" t="s">
        <v>539</v>
      </c>
      <c r="F248" s="391" t="s">
        <v>540</v>
      </c>
      <c r="G248" s="391">
        <v>30</v>
      </c>
      <c r="H248" s="392">
        <v>97713.7</v>
      </c>
      <c r="I248" s="392">
        <v>42342.58</v>
      </c>
      <c r="J248" s="392">
        <v>3257.12</v>
      </c>
      <c r="K248" s="391" t="s">
        <v>505</v>
      </c>
      <c r="L248" s="391" t="s">
        <v>505</v>
      </c>
      <c r="O248" s="392">
        <f t="shared" si="65"/>
        <v>0</v>
      </c>
      <c r="P248" s="392">
        <f t="shared" si="65"/>
        <v>0</v>
      </c>
      <c r="Q248" s="392">
        <f t="shared" si="65"/>
        <v>97713.7</v>
      </c>
      <c r="R248" s="392">
        <f t="shared" si="65"/>
        <v>0</v>
      </c>
      <c r="S248" s="392">
        <f t="shared" si="65"/>
        <v>0</v>
      </c>
      <c r="U248" s="392">
        <f t="shared" si="66"/>
        <v>0</v>
      </c>
      <c r="V248" s="392">
        <f t="shared" si="66"/>
        <v>0</v>
      </c>
      <c r="W248" s="392">
        <f t="shared" si="66"/>
        <v>42342.58</v>
      </c>
      <c r="X248" s="392">
        <f t="shared" si="66"/>
        <v>0</v>
      </c>
      <c r="Y248" s="392">
        <f t="shared" si="66"/>
        <v>0</v>
      </c>
      <c r="AA248" s="392">
        <f t="shared" si="67"/>
        <v>0</v>
      </c>
      <c r="AB248" s="392">
        <f t="shared" si="67"/>
        <v>0</v>
      </c>
      <c r="AC248" s="392">
        <f t="shared" si="67"/>
        <v>3257.12</v>
      </c>
      <c r="AD248" s="392">
        <f t="shared" si="67"/>
        <v>0</v>
      </c>
      <c r="AE248" s="392">
        <f t="shared" si="67"/>
        <v>0</v>
      </c>
      <c r="AG248" s="409">
        <f t="shared" si="68"/>
        <v>0</v>
      </c>
      <c r="AH248" s="409">
        <f t="shared" si="68"/>
        <v>0</v>
      </c>
      <c r="AI248" s="409">
        <f t="shared" si="68"/>
        <v>1</v>
      </c>
      <c r="AJ248" s="409">
        <f t="shared" si="68"/>
        <v>0</v>
      </c>
      <c r="AK248" s="409">
        <f t="shared" si="68"/>
        <v>0</v>
      </c>
      <c r="AN248" s="391">
        <v>97713.7</v>
      </c>
      <c r="AO248" s="423">
        <f t="shared" si="69"/>
        <v>0</v>
      </c>
    </row>
    <row r="249" spans="1:41">
      <c r="A249" s="391" t="s">
        <v>616</v>
      </c>
      <c r="B249" s="408">
        <v>37741</v>
      </c>
      <c r="C249" s="391" t="s">
        <v>1021</v>
      </c>
      <c r="D249" s="391" t="s">
        <v>1022</v>
      </c>
      <c r="E249" s="391" t="s">
        <v>539</v>
      </c>
      <c r="F249" s="391" t="s">
        <v>540</v>
      </c>
      <c r="G249" s="391">
        <v>25</v>
      </c>
      <c r="H249" s="392">
        <v>45599.78</v>
      </c>
      <c r="I249" s="392">
        <v>23711.88</v>
      </c>
      <c r="J249" s="392">
        <v>1823.99</v>
      </c>
      <c r="K249" s="391" t="s">
        <v>505</v>
      </c>
      <c r="L249" s="391" t="s">
        <v>505</v>
      </c>
      <c r="O249" s="392">
        <f t="shared" si="65"/>
        <v>0</v>
      </c>
      <c r="P249" s="392">
        <f t="shared" si="65"/>
        <v>0</v>
      </c>
      <c r="Q249" s="392">
        <f t="shared" si="65"/>
        <v>45599.78</v>
      </c>
      <c r="R249" s="392">
        <f t="shared" si="65"/>
        <v>0</v>
      </c>
      <c r="S249" s="392">
        <f t="shared" si="65"/>
        <v>0</v>
      </c>
      <c r="U249" s="392">
        <f t="shared" si="66"/>
        <v>0</v>
      </c>
      <c r="V249" s="392">
        <f t="shared" si="66"/>
        <v>0</v>
      </c>
      <c r="W249" s="392">
        <f t="shared" si="66"/>
        <v>23711.88</v>
      </c>
      <c r="X249" s="392">
        <f t="shared" si="66"/>
        <v>0</v>
      </c>
      <c r="Y249" s="392">
        <f t="shared" si="66"/>
        <v>0</v>
      </c>
      <c r="AA249" s="392">
        <f t="shared" si="67"/>
        <v>0</v>
      </c>
      <c r="AB249" s="392">
        <f t="shared" si="67"/>
        <v>0</v>
      </c>
      <c r="AC249" s="392">
        <f t="shared" si="67"/>
        <v>1823.99</v>
      </c>
      <c r="AD249" s="392">
        <f t="shared" si="67"/>
        <v>0</v>
      </c>
      <c r="AE249" s="392">
        <f t="shared" si="67"/>
        <v>0</v>
      </c>
      <c r="AG249" s="409">
        <f t="shared" si="68"/>
        <v>0</v>
      </c>
      <c r="AH249" s="409">
        <f t="shared" si="68"/>
        <v>0</v>
      </c>
      <c r="AI249" s="409">
        <f t="shared" si="68"/>
        <v>1</v>
      </c>
      <c r="AJ249" s="409">
        <f t="shared" si="68"/>
        <v>0</v>
      </c>
      <c r="AK249" s="409">
        <f t="shared" si="68"/>
        <v>0</v>
      </c>
      <c r="AN249" s="391">
        <v>45599.78</v>
      </c>
      <c r="AO249" s="423">
        <f t="shared" si="69"/>
        <v>0</v>
      </c>
    </row>
    <row r="250" spans="1:41" s="411" customFormat="1">
      <c r="A250" s="411" t="s">
        <v>1023</v>
      </c>
      <c r="B250" s="412">
        <v>37741</v>
      </c>
      <c r="C250" s="411" t="s">
        <v>1024</v>
      </c>
      <c r="D250" s="411" t="s">
        <v>1025</v>
      </c>
      <c r="E250" s="411" t="s">
        <v>539</v>
      </c>
      <c r="F250" s="411" t="s">
        <v>540</v>
      </c>
      <c r="G250" s="411">
        <v>30</v>
      </c>
      <c r="H250" s="413">
        <v>4343710.4400000004</v>
      </c>
      <c r="I250" s="413">
        <v>1882274.54</v>
      </c>
      <c r="J250" s="413">
        <v>144790.35</v>
      </c>
      <c r="K250" s="411" t="s">
        <v>516</v>
      </c>
      <c r="L250" s="391" t="s">
        <v>516</v>
      </c>
      <c r="M250" s="411" t="s">
        <v>1026</v>
      </c>
      <c r="O250" s="413">
        <f>$H250*AG250</f>
        <v>0</v>
      </c>
      <c r="P250" s="413">
        <f t="shared" ref="P250:S250" si="70">$H250*AH250</f>
        <v>1303113.132</v>
      </c>
      <c r="Q250" s="413">
        <f t="shared" si="70"/>
        <v>3040597.3080000002</v>
      </c>
      <c r="R250" s="413">
        <f t="shared" si="70"/>
        <v>0</v>
      </c>
      <c r="S250" s="413">
        <f t="shared" si="70"/>
        <v>0</v>
      </c>
      <c r="T250" s="413"/>
      <c r="U250" s="413">
        <f t="shared" si="66"/>
        <v>0</v>
      </c>
      <c r="V250" s="413">
        <f t="shared" si="66"/>
        <v>564682.36199999996</v>
      </c>
      <c r="W250" s="413">
        <f t="shared" si="66"/>
        <v>1317592.1779999998</v>
      </c>
      <c r="X250" s="413">
        <f t="shared" si="66"/>
        <v>0</v>
      </c>
      <c r="Y250" s="413">
        <f t="shared" si="66"/>
        <v>0</v>
      </c>
      <c r="Z250" s="413"/>
      <c r="AA250" s="413">
        <f t="shared" si="67"/>
        <v>0</v>
      </c>
      <c r="AB250" s="413">
        <f t="shared" si="67"/>
        <v>43437.105000000003</v>
      </c>
      <c r="AC250" s="413">
        <f t="shared" si="67"/>
        <v>101353.245</v>
      </c>
      <c r="AD250" s="413">
        <f t="shared" si="67"/>
        <v>0</v>
      </c>
      <c r="AE250" s="413">
        <f t="shared" si="67"/>
        <v>0</v>
      </c>
      <c r="AG250" s="410">
        <v>0</v>
      </c>
      <c r="AH250" s="410">
        <v>0.3</v>
      </c>
      <c r="AI250" s="410">
        <f>1-AH250</f>
        <v>0.7</v>
      </c>
      <c r="AJ250" s="410">
        <v>0</v>
      </c>
      <c r="AK250" s="410">
        <v>0</v>
      </c>
      <c r="AN250" s="411">
        <v>4343710.4400000004</v>
      </c>
      <c r="AO250" s="423">
        <f t="shared" si="69"/>
        <v>0</v>
      </c>
    </row>
    <row r="251" spans="1:41">
      <c r="A251" s="391" t="s">
        <v>585</v>
      </c>
      <c r="B251" s="408">
        <v>37741</v>
      </c>
      <c r="C251" s="391" t="s">
        <v>1027</v>
      </c>
      <c r="D251" s="391" t="s">
        <v>1028</v>
      </c>
      <c r="E251" s="391" t="s">
        <v>539</v>
      </c>
      <c r="F251" s="391" t="s">
        <v>540</v>
      </c>
      <c r="G251" s="391">
        <v>30</v>
      </c>
      <c r="H251" s="392">
        <v>271571.21000000002</v>
      </c>
      <c r="I251" s="392">
        <v>117680.83</v>
      </c>
      <c r="J251" s="392">
        <v>9052.3700000000008</v>
      </c>
      <c r="K251" s="391" t="s">
        <v>505</v>
      </c>
      <c r="L251" s="391" t="s">
        <v>778</v>
      </c>
      <c r="O251" s="392">
        <f>$H251*AG251</f>
        <v>0</v>
      </c>
      <c r="P251" s="392">
        <f>$H251*AH251</f>
        <v>0</v>
      </c>
      <c r="Q251" s="392">
        <f>$H251*AI251</f>
        <v>271571.21000000002</v>
      </c>
      <c r="R251" s="392">
        <f>$H251*AJ251</f>
        <v>0</v>
      </c>
      <c r="S251" s="392">
        <f>$H251*AK251</f>
        <v>0</v>
      </c>
      <c r="U251" s="392">
        <f t="shared" si="66"/>
        <v>0</v>
      </c>
      <c r="V251" s="392">
        <f t="shared" si="66"/>
        <v>0</v>
      </c>
      <c r="W251" s="392">
        <f t="shared" si="66"/>
        <v>117680.83</v>
      </c>
      <c r="X251" s="392">
        <f t="shared" si="66"/>
        <v>0</v>
      </c>
      <c r="Y251" s="392">
        <f t="shared" si="66"/>
        <v>0</v>
      </c>
      <c r="AA251" s="392">
        <f t="shared" si="67"/>
        <v>0</v>
      </c>
      <c r="AB251" s="392">
        <f t="shared" si="67"/>
        <v>0</v>
      </c>
      <c r="AC251" s="392">
        <f t="shared" si="67"/>
        <v>9052.3700000000008</v>
      </c>
      <c r="AD251" s="392">
        <f t="shared" si="67"/>
        <v>0</v>
      </c>
      <c r="AE251" s="392">
        <f t="shared" si="67"/>
        <v>0</v>
      </c>
      <c r="AG251" s="409">
        <v>0</v>
      </c>
      <c r="AH251" s="409">
        <v>0</v>
      </c>
      <c r="AI251" s="410">
        <v>1</v>
      </c>
      <c r="AJ251" s="409">
        <v>0</v>
      </c>
      <c r="AK251" s="409">
        <v>0</v>
      </c>
      <c r="AN251" s="391">
        <v>271571.21000000002</v>
      </c>
      <c r="AO251" s="423">
        <f t="shared" si="69"/>
        <v>0</v>
      </c>
    </row>
    <row r="252" spans="1:41">
      <c r="A252" s="391" t="s">
        <v>572</v>
      </c>
      <c r="B252" s="408">
        <v>37741</v>
      </c>
      <c r="C252" s="391" t="s">
        <v>1029</v>
      </c>
      <c r="D252" s="391" t="s">
        <v>1030</v>
      </c>
      <c r="E252" s="391" t="s">
        <v>539</v>
      </c>
      <c r="F252" s="391" t="s">
        <v>540</v>
      </c>
      <c r="G252" s="391">
        <v>30</v>
      </c>
      <c r="H252" s="392">
        <v>229896</v>
      </c>
      <c r="I252" s="392">
        <v>99621.599999999991</v>
      </c>
      <c r="J252" s="392">
        <v>7663.2</v>
      </c>
      <c r="K252" s="391" t="s">
        <v>505</v>
      </c>
      <c r="L252" s="391" t="s">
        <v>505</v>
      </c>
      <c r="O252" s="392">
        <f t="shared" ref="O252:S261" si="71">IF(O$8=$K252,$H252,0)</f>
        <v>0</v>
      </c>
      <c r="P252" s="392">
        <f t="shared" si="71"/>
        <v>0</v>
      </c>
      <c r="Q252" s="392">
        <f t="shared" si="71"/>
        <v>229896</v>
      </c>
      <c r="R252" s="392">
        <f t="shared" si="71"/>
        <v>0</v>
      </c>
      <c r="S252" s="392">
        <f t="shared" si="71"/>
        <v>0</v>
      </c>
      <c r="U252" s="392">
        <f t="shared" si="66"/>
        <v>0</v>
      </c>
      <c r="V252" s="392">
        <f t="shared" si="66"/>
        <v>0</v>
      </c>
      <c r="W252" s="392">
        <f t="shared" si="66"/>
        <v>99621.599999999991</v>
      </c>
      <c r="X252" s="392">
        <f t="shared" si="66"/>
        <v>0</v>
      </c>
      <c r="Y252" s="392">
        <f t="shared" si="66"/>
        <v>0</v>
      </c>
      <c r="AA252" s="392">
        <f t="shared" si="67"/>
        <v>0</v>
      </c>
      <c r="AB252" s="392">
        <f t="shared" si="67"/>
        <v>0</v>
      </c>
      <c r="AC252" s="392">
        <f t="shared" si="67"/>
        <v>7663.2</v>
      </c>
      <c r="AD252" s="392">
        <f t="shared" si="67"/>
        <v>0</v>
      </c>
      <c r="AE252" s="392">
        <f t="shared" si="67"/>
        <v>0</v>
      </c>
      <c r="AG252" s="409">
        <f t="shared" ref="AG252:AK275" si="72">IF($H252=0,0,O252/$H252)</f>
        <v>0</v>
      </c>
      <c r="AH252" s="409">
        <f t="shared" si="72"/>
        <v>0</v>
      </c>
      <c r="AI252" s="409">
        <f t="shared" si="72"/>
        <v>1</v>
      </c>
      <c r="AJ252" s="409">
        <f t="shared" si="72"/>
        <v>0</v>
      </c>
      <c r="AK252" s="409">
        <f t="shared" si="72"/>
        <v>0</v>
      </c>
      <c r="AN252" s="391">
        <v>229896</v>
      </c>
      <c r="AO252" s="423">
        <f t="shared" si="69"/>
        <v>0</v>
      </c>
    </row>
    <row r="253" spans="1:41">
      <c r="A253" s="391" t="s">
        <v>609</v>
      </c>
      <c r="B253" s="408">
        <v>37741</v>
      </c>
      <c r="C253" s="391" t="s">
        <v>610</v>
      </c>
      <c r="D253" s="391" t="s">
        <v>1031</v>
      </c>
      <c r="E253" s="391" t="s">
        <v>539</v>
      </c>
      <c r="F253" s="391" t="s">
        <v>540</v>
      </c>
      <c r="G253" s="391">
        <v>30</v>
      </c>
      <c r="H253" s="392">
        <v>1892546.28</v>
      </c>
      <c r="I253" s="392">
        <v>820103.42</v>
      </c>
      <c r="J253" s="392">
        <v>63084.88</v>
      </c>
      <c r="K253" s="391" t="s">
        <v>45</v>
      </c>
      <c r="L253" s="391" t="s">
        <v>45</v>
      </c>
      <c r="M253" s="391" t="s">
        <v>1032</v>
      </c>
      <c r="O253" s="392">
        <f t="shared" si="71"/>
        <v>0</v>
      </c>
      <c r="P253" s="392">
        <f t="shared" si="71"/>
        <v>1892546.28</v>
      </c>
      <c r="Q253" s="392">
        <f t="shared" si="71"/>
        <v>0</v>
      </c>
      <c r="R253" s="392">
        <f t="shared" si="71"/>
        <v>0</v>
      </c>
      <c r="S253" s="392">
        <f t="shared" si="71"/>
        <v>0</v>
      </c>
      <c r="U253" s="392">
        <f t="shared" si="66"/>
        <v>0</v>
      </c>
      <c r="V253" s="392">
        <f t="shared" si="66"/>
        <v>820103.42</v>
      </c>
      <c r="W253" s="392">
        <f t="shared" si="66"/>
        <v>0</v>
      </c>
      <c r="X253" s="392">
        <f t="shared" si="66"/>
        <v>0</v>
      </c>
      <c r="Y253" s="392">
        <f t="shared" si="66"/>
        <v>0</v>
      </c>
      <c r="AA253" s="392">
        <f t="shared" si="67"/>
        <v>0</v>
      </c>
      <c r="AB253" s="392">
        <f t="shared" si="67"/>
        <v>63084.88</v>
      </c>
      <c r="AC253" s="392">
        <f t="shared" si="67"/>
        <v>0</v>
      </c>
      <c r="AD253" s="392">
        <f t="shared" si="67"/>
        <v>0</v>
      </c>
      <c r="AE253" s="392">
        <f t="shared" si="67"/>
        <v>0</v>
      </c>
      <c r="AG253" s="409">
        <f t="shared" si="72"/>
        <v>0</v>
      </c>
      <c r="AH253" s="409">
        <f t="shared" si="72"/>
        <v>1</v>
      </c>
      <c r="AI253" s="409">
        <f t="shared" si="72"/>
        <v>0</v>
      </c>
      <c r="AJ253" s="409">
        <f t="shared" si="72"/>
        <v>0</v>
      </c>
      <c r="AK253" s="409">
        <f t="shared" si="72"/>
        <v>0</v>
      </c>
      <c r="AN253" s="391">
        <v>1892546.28</v>
      </c>
      <c r="AO253" s="423">
        <f t="shared" si="69"/>
        <v>0</v>
      </c>
    </row>
    <row r="254" spans="1:41">
      <c r="A254" s="391" t="s">
        <v>632</v>
      </c>
      <c r="B254" s="408">
        <v>37827</v>
      </c>
      <c r="C254" s="391" t="s">
        <v>1033</v>
      </c>
      <c r="D254" s="391" t="s">
        <v>1034</v>
      </c>
      <c r="E254" s="391" t="s">
        <v>539</v>
      </c>
      <c r="F254" s="391" t="s">
        <v>540</v>
      </c>
      <c r="G254" s="391">
        <v>5</v>
      </c>
      <c r="H254" s="392">
        <v>0</v>
      </c>
      <c r="I254" s="392">
        <v>0</v>
      </c>
      <c r="J254" s="392">
        <v>0</v>
      </c>
      <c r="K254" s="391" t="s">
        <v>515</v>
      </c>
      <c r="L254" s="391" t="s">
        <v>515</v>
      </c>
      <c r="O254" s="392">
        <f t="shared" si="71"/>
        <v>0</v>
      </c>
      <c r="P254" s="392">
        <f t="shared" si="71"/>
        <v>0</v>
      </c>
      <c r="Q254" s="392">
        <f t="shared" si="71"/>
        <v>0</v>
      </c>
      <c r="R254" s="392">
        <f t="shared" si="71"/>
        <v>0</v>
      </c>
      <c r="S254" s="392">
        <f t="shared" si="71"/>
        <v>0</v>
      </c>
      <c r="U254" s="392">
        <f t="shared" si="66"/>
        <v>0</v>
      </c>
      <c r="V254" s="392">
        <f t="shared" si="66"/>
        <v>0</v>
      </c>
      <c r="W254" s="392">
        <f t="shared" si="66"/>
        <v>0</v>
      </c>
      <c r="X254" s="392">
        <f t="shared" si="66"/>
        <v>0</v>
      </c>
      <c r="Y254" s="392">
        <f t="shared" si="66"/>
        <v>0</v>
      </c>
      <c r="AA254" s="392">
        <f t="shared" si="67"/>
        <v>0</v>
      </c>
      <c r="AB254" s="392">
        <f t="shared" si="67"/>
        <v>0</v>
      </c>
      <c r="AC254" s="392">
        <f t="shared" si="67"/>
        <v>0</v>
      </c>
      <c r="AD254" s="392">
        <f t="shared" si="67"/>
        <v>0</v>
      </c>
      <c r="AE254" s="392">
        <f t="shared" si="67"/>
        <v>0</v>
      </c>
      <c r="AG254" s="409">
        <f t="shared" si="72"/>
        <v>0</v>
      </c>
      <c r="AH254" s="409">
        <f t="shared" si="72"/>
        <v>0</v>
      </c>
      <c r="AI254" s="409">
        <f t="shared" si="72"/>
        <v>0</v>
      </c>
      <c r="AJ254" s="409">
        <f t="shared" si="72"/>
        <v>0</v>
      </c>
      <c r="AK254" s="409">
        <f t="shared" si="72"/>
        <v>0</v>
      </c>
      <c r="AN254" s="391">
        <v>0</v>
      </c>
      <c r="AO254" s="423">
        <f t="shared" si="69"/>
        <v>0</v>
      </c>
    </row>
    <row r="255" spans="1:41">
      <c r="A255" s="391" t="s">
        <v>632</v>
      </c>
      <c r="B255" s="408">
        <v>37841</v>
      </c>
      <c r="C255" s="391" t="s">
        <v>1035</v>
      </c>
      <c r="D255" s="391" t="s">
        <v>1036</v>
      </c>
      <c r="E255" s="391" t="s">
        <v>539</v>
      </c>
      <c r="F255" s="391" t="s">
        <v>540</v>
      </c>
      <c r="G255" s="391">
        <v>5</v>
      </c>
      <c r="H255" s="392">
        <v>0</v>
      </c>
      <c r="I255" s="392">
        <v>0</v>
      </c>
      <c r="J255" s="392">
        <v>0</v>
      </c>
      <c r="K255" s="391" t="s">
        <v>515</v>
      </c>
      <c r="L255" s="391" t="s">
        <v>515</v>
      </c>
      <c r="O255" s="392">
        <f t="shared" si="71"/>
        <v>0</v>
      </c>
      <c r="P255" s="392">
        <f t="shared" si="71"/>
        <v>0</v>
      </c>
      <c r="Q255" s="392">
        <f t="shared" si="71"/>
        <v>0</v>
      </c>
      <c r="R255" s="392">
        <f t="shared" si="71"/>
        <v>0</v>
      </c>
      <c r="S255" s="392">
        <f t="shared" si="71"/>
        <v>0</v>
      </c>
      <c r="U255" s="392">
        <f t="shared" si="66"/>
        <v>0</v>
      </c>
      <c r="V255" s="392">
        <f t="shared" si="66"/>
        <v>0</v>
      </c>
      <c r="W255" s="392">
        <f t="shared" si="66"/>
        <v>0</v>
      </c>
      <c r="X255" s="392">
        <f t="shared" si="66"/>
        <v>0</v>
      </c>
      <c r="Y255" s="392">
        <f t="shared" si="66"/>
        <v>0</v>
      </c>
      <c r="AA255" s="392">
        <f t="shared" si="67"/>
        <v>0</v>
      </c>
      <c r="AB255" s="392">
        <f t="shared" si="67"/>
        <v>0</v>
      </c>
      <c r="AC255" s="392">
        <f t="shared" si="67"/>
        <v>0</v>
      </c>
      <c r="AD255" s="392">
        <f t="shared" si="67"/>
        <v>0</v>
      </c>
      <c r="AE255" s="392">
        <f t="shared" si="67"/>
        <v>0</v>
      </c>
      <c r="AG255" s="409">
        <f t="shared" si="72"/>
        <v>0</v>
      </c>
      <c r="AH255" s="409">
        <f t="shared" si="72"/>
        <v>0</v>
      </c>
      <c r="AI255" s="409">
        <f t="shared" si="72"/>
        <v>0</v>
      </c>
      <c r="AJ255" s="409">
        <f t="shared" si="72"/>
        <v>0</v>
      </c>
      <c r="AK255" s="409">
        <f t="shared" si="72"/>
        <v>0</v>
      </c>
      <c r="AN255" s="391">
        <v>0</v>
      </c>
      <c r="AO255" s="423">
        <f t="shared" si="69"/>
        <v>0</v>
      </c>
    </row>
    <row r="256" spans="1:41">
      <c r="A256" s="391" t="s">
        <v>632</v>
      </c>
      <c r="B256" s="408">
        <v>37841</v>
      </c>
      <c r="C256" s="391" t="s">
        <v>1037</v>
      </c>
      <c r="D256" s="391" t="s">
        <v>1038</v>
      </c>
      <c r="E256" s="391" t="s">
        <v>539</v>
      </c>
      <c r="F256" s="391" t="s">
        <v>540</v>
      </c>
      <c r="G256" s="391">
        <v>5</v>
      </c>
      <c r="H256" s="392">
        <v>1918.1</v>
      </c>
      <c r="I256" s="392">
        <v>1918.1</v>
      </c>
      <c r="J256" s="392">
        <v>0</v>
      </c>
      <c r="K256" s="391" t="s">
        <v>515</v>
      </c>
      <c r="L256" s="391" t="s">
        <v>515</v>
      </c>
      <c r="O256" s="392">
        <f t="shared" si="71"/>
        <v>0</v>
      </c>
      <c r="P256" s="392">
        <f t="shared" si="71"/>
        <v>0</v>
      </c>
      <c r="Q256" s="392">
        <f t="shared" si="71"/>
        <v>0</v>
      </c>
      <c r="R256" s="392">
        <f t="shared" si="71"/>
        <v>1918.1</v>
      </c>
      <c r="S256" s="392">
        <f t="shared" si="71"/>
        <v>0</v>
      </c>
      <c r="U256" s="392">
        <f t="shared" si="66"/>
        <v>0</v>
      </c>
      <c r="V256" s="392">
        <f t="shared" si="66"/>
        <v>0</v>
      </c>
      <c r="W256" s="392">
        <f t="shared" si="66"/>
        <v>0</v>
      </c>
      <c r="X256" s="392">
        <f t="shared" si="66"/>
        <v>1918.1</v>
      </c>
      <c r="Y256" s="392">
        <f t="shared" si="66"/>
        <v>0</v>
      </c>
      <c r="AA256" s="392">
        <f t="shared" si="67"/>
        <v>0</v>
      </c>
      <c r="AB256" s="392">
        <f t="shared" si="67"/>
        <v>0</v>
      </c>
      <c r="AC256" s="392">
        <f t="shared" si="67"/>
        <v>0</v>
      </c>
      <c r="AD256" s="392">
        <f t="shared" si="67"/>
        <v>0</v>
      </c>
      <c r="AE256" s="392">
        <f t="shared" si="67"/>
        <v>0</v>
      </c>
      <c r="AG256" s="409">
        <f t="shared" si="72"/>
        <v>0</v>
      </c>
      <c r="AH256" s="409">
        <f t="shared" si="72"/>
        <v>0</v>
      </c>
      <c r="AI256" s="409">
        <f t="shared" si="72"/>
        <v>0</v>
      </c>
      <c r="AJ256" s="409">
        <f t="shared" si="72"/>
        <v>1</v>
      </c>
      <c r="AK256" s="409">
        <f t="shared" si="72"/>
        <v>0</v>
      </c>
      <c r="AN256" s="391">
        <v>1918.1</v>
      </c>
      <c r="AO256" s="423">
        <f t="shared" si="69"/>
        <v>0</v>
      </c>
    </row>
    <row r="257" spans="1:41">
      <c r="A257" s="391" t="s">
        <v>646</v>
      </c>
      <c r="B257" s="408">
        <v>37883</v>
      </c>
      <c r="C257" s="391" t="s">
        <v>1039</v>
      </c>
      <c r="D257" s="391" t="s">
        <v>1040</v>
      </c>
      <c r="E257" s="391" t="s">
        <v>539</v>
      </c>
      <c r="F257" s="391" t="s">
        <v>540</v>
      </c>
      <c r="G257" s="391">
        <v>5</v>
      </c>
      <c r="H257" s="392">
        <v>15374.5</v>
      </c>
      <c r="I257" s="392">
        <v>15374.5</v>
      </c>
      <c r="J257" s="392">
        <v>0</v>
      </c>
      <c r="K257" s="391" t="s">
        <v>515</v>
      </c>
      <c r="L257" s="391" t="s">
        <v>515</v>
      </c>
      <c r="O257" s="392">
        <f t="shared" si="71"/>
        <v>0</v>
      </c>
      <c r="P257" s="392">
        <f t="shared" si="71"/>
        <v>0</v>
      </c>
      <c r="Q257" s="392">
        <f t="shared" si="71"/>
        <v>0</v>
      </c>
      <c r="R257" s="392">
        <f t="shared" si="71"/>
        <v>15374.5</v>
      </c>
      <c r="S257" s="392">
        <f t="shared" si="71"/>
        <v>0</v>
      </c>
      <c r="U257" s="392">
        <f t="shared" si="66"/>
        <v>0</v>
      </c>
      <c r="V257" s="392">
        <f t="shared" si="66"/>
        <v>0</v>
      </c>
      <c r="W257" s="392">
        <f t="shared" si="66"/>
        <v>0</v>
      </c>
      <c r="X257" s="392">
        <f t="shared" si="66"/>
        <v>15374.5</v>
      </c>
      <c r="Y257" s="392">
        <f t="shared" si="66"/>
        <v>0</v>
      </c>
      <c r="AA257" s="392">
        <f t="shared" si="67"/>
        <v>0</v>
      </c>
      <c r="AB257" s="392">
        <f t="shared" si="67"/>
        <v>0</v>
      </c>
      <c r="AC257" s="392">
        <f t="shared" si="67"/>
        <v>0</v>
      </c>
      <c r="AD257" s="392">
        <f t="shared" si="67"/>
        <v>0</v>
      </c>
      <c r="AE257" s="392">
        <f t="shared" si="67"/>
        <v>0</v>
      </c>
      <c r="AG257" s="409">
        <f t="shared" si="72"/>
        <v>0</v>
      </c>
      <c r="AH257" s="409">
        <f t="shared" si="72"/>
        <v>0</v>
      </c>
      <c r="AI257" s="409">
        <f t="shared" si="72"/>
        <v>0</v>
      </c>
      <c r="AJ257" s="409">
        <f t="shared" si="72"/>
        <v>1</v>
      </c>
      <c r="AK257" s="409">
        <f t="shared" si="72"/>
        <v>0</v>
      </c>
      <c r="AN257" s="391">
        <v>15374.5</v>
      </c>
      <c r="AO257" s="423">
        <f t="shared" si="69"/>
        <v>0</v>
      </c>
    </row>
    <row r="258" spans="1:41">
      <c r="A258" s="391" t="s">
        <v>632</v>
      </c>
      <c r="B258" s="408">
        <v>37883</v>
      </c>
      <c r="C258" s="391" t="s">
        <v>1041</v>
      </c>
      <c r="D258" s="391" t="s">
        <v>1042</v>
      </c>
      <c r="E258" s="391" t="s">
        <v>539</v>
      </c>
      <c r="F258" s="391" t="s">
        <v>540</v>
      </c>
      <c r="G258" s="391">
        <v>5</v>
      </c>
      <c r="H258" s="392">
        <v>5140.83</v>
      </c>
      <c r="I258" s="392">
        <v>5140.83</v>
      </c>
      <c r="J258" s="392">
        <v>0</v>
      </c>
      <c r="K258" s="391" t="s">
        <v>515</v>
      </c>
      <c r="L258" s="391" t="s">
        <v>515</v>
      </c>
      <c r="O258" s="392">
        <f t="shared" si="71"/>
        <v>0</v>
      </c>
      <c r="P258" s="392">
        <f t="shared" si="71"/>
        <v>0</v>
      </c>
      <c r="Q258" s="392">
        <f t="shared" si="71"/>
        <v>0</v>
      </c>
      <c r="R258" s="392">
        <f t="shared" si="71"/>
        <v>5140.83</v>
      </c>
      <c r="S258" s="392">
        <f t="shared" si="71"/>
        <v>0</v>
      </c>
      <c r="U258" s="392">
        <f t="shared" si="66"/>
        <v>0</v>
      </c>
      <c r="V258" s="392">
        <f t="shared" si="66"/>
        <v>0</v>
      </c>
      <c r="W258" s="392">
        <f t="shared" si="66"/>
        <v>0</v>
      </c>
      <c r="X258" s="392">
        <f t="shared" si="66"/>
        <v>5140.83</v>
      </c>
      <c r="Y258" s="392">
        <f t="shared" si="66"/>
        <v>0</v>
      </c>
      <c r="AA258" s="392">
        <f t="shared" si="67"/>
        <v>0</v>
      </c>
      <c r="AB258" s="392">
        <f t="shared" si="67"/>
        <v>0</v>
      </c>
      <c r="AC258" s="392">
        <f t="shared" si="67"/>
        <v>0</v>
      </c>
      <c r="AD258" s="392">
        <f t="shared" si="67"/>
        <v>0</v>
      </c>
      <c r="AE258" s="392">
        <f t="shared" si="67"/>
        <v>0</v>
      </c>
      <c r="AG258" s="409">
        <f t="shared" si="72"/>
        <v>0</v>
      </c>
      <c r="AH258" s="409">
        <f t="shared" si="72"/>
        <v>0</v>
      </c>
      <c r="AI258" s="409">
        <f t="shared" si="72"/>
        <v>0</v>
      </c>
      <c r="AJ258" s="409">
        <f t="shared" si="72"/>
        <v>1</v>
      </c>
      <c r="AK258" s="409">
        <f t="shared" si="72"/>
        <v>0</v>
      </c>
      <c r="AN258" s="391">
        <v>5140.83</v>
      </c>
      <c r="AO258" s="423">
        <f t="shared" si="69"/>
        <v>0</v>
      </c>
    </row>
    <row r="259" spans="1:41">
      <c r="A259" s="391" t="s">
        <v>632</v>
      </c>
      <c r="B259" s="408">
        <v>37911</v>
      </c>
      <c r="C259" s="391" t="s">
        <v>1043</v>
      </c>
      <c r="D259" s="391" t="s">
        <v>1044</v>
      </c>
      <c r="E259" s="391" t="s">
        <v>539</v>
      </c>
      <c r="F259" s="391" t="s">
        <v>540</v>
      </c>
      <c r="G259" s="391">
        <v>5</v>
      </c>
      <c r="H259" s="392">
        <v>2375</v>
      </c>
      <c r="I259" s="392">
        <v>2375</v>
      </c>
      <c r="J259" s="392">
        <v>0</v>
      </c>
      <c r="K259" s="391" t="s">
        <v>515</v>
      </c>
      <c r="L259" s="391" t="s">
        <v>515</v>
      </c>
      <c r="O259" s="392">
        <f t="shared" si="71"/>
        <v>0</v>
      </c>
      <c r="P259" s="392">
        <f t="shared" si="71"/>
        <v>0</v>
      </c>
      <c r="Q259" s="392">
        <f t="shared" si="71"/>
        <v>0</v>
      </c>
      <c r="R259" s="392">
        <f t="shared" si="71"/>
        <v>2375</v>
      </c>
      <c r="S259" s="392">
        <f t="shared" si="71"/>
        <v>0</v>
      </c>
      <c r="U259" s="392">
        <f t="shared" si="66"/>
        <v>0</v>
      </c>
      <c r="V259" s="392">
        <f t="shared" si="66"/>
        <v>0</v>
      </c>
      <c r="W259" s="392">
        <f t="shared" si="66"/>
        <v>0</v>
      </c>
      <c r="X259" s="392">
        <f t="shared" si="66"/>
        <v>2375</v>
      </c>
      <c r="Y259" s="392">
        <f t="shared" si="66"/>
        <v>0</v>
      </c>
      <c r="AA259" s="392">
        <f t="shared" si="67"/>
        <v>0</v>
      </c>
      <c r="AB259" s="392">
        <f t="shared" si="67"/>
        <v>0</v>
      </c>
      <c r="AC259" s="392">
        <f t="shared" si="67"/>
        <v>0</v>
      </c>
      <c r="AD259" s="392">
        <f t="shared" si="67"/>
        <v>0</v>
      </c>
      <c r="AE259" s="392">
        <f t="shared" si="67"/>
        <v>0</v>
      </c>
      <c r="AG259" s="409">
        <f t="shared" si="72"/>
        <v>0</v>
      </c>
      <c r="AH259" s="409">
        <f t="shared" si="72"/>
        <v>0</v>
      </c>
      <c r="AI259" s="409">
        <f t="shared" si="72"/>
        <v>0</v>
      </c>
      <c r="AJ259" s="409">
        <f t="shared" si="72"/>
        <v>1</v>
      </c>
      <c r="AK259" s="409">
        <f t="shared" si="72"/>
        <v>0</v>
      </c>
      <c r="AN259" s="391">
        <v>2375</v>
      </c>
      <c r="AO259" s="423">
        <f t="shared" si="69"/>
        <v>0</v>
      </c>
    </row>
    <row r="260" spans="1:41">
      <c r="A260" s="391" t="s">
        <v>632</v>
      </c>
      <c r="B260" s="408">
        <v>37911</v>
      </c>
      <c r="C260" s="391" t="s">
        <v>1045</v>
      </c>
      <c r="D260" s="391" t="s">
        <v>1046</v>
      </c>
      <c r="E260" s="391" t="s">
        <v>539</v>
      </c>
      <c r="F260" s="391" t="s">
        <v>540</v>
      </c>
      <c r="G260" s="391">
        <v>5</v>
      </c>
      <c r="H260" s="392">
        <v>1490</v>
      </c>
      <c r="I260" s="392">
        <v>1490</v>
      </c>
      <c r="J260" s="392">
        <v>0</v>
      </c>
      <c r="K260" s="391" t="s">
        <v>515</v>
      </c>
      <c r="L260" s="391" t="s">
        <v>515</v>
      </c>
      <c r="O260" s="392">
        <f t="shared" si="71"/>
        <v>0</v>
      </c>
      <c r="P260" s="392">
        <f t="shared" si="71"/>
        <v>0</v>
      </c>
      <c r="Q260" s="392">
        <f t="shared" si="71"/>
        <v>0</v>
      </c>
      <c r="R260" s="392">
        <f t="shared" si="71"/>
        <v>1490</v>
      </c>
      <c r="S260" s="392">
        <f t="shared" si="71"/>
        <v>0</v>
      </c>
      <c r="U260" s="392">
        <f t="shared" si="66"/>
        <v>0</v>
      </c>
      <c r="V260" s="392">
        <f t="shared" si="66"/>
        <v>0</v>
      </c>
      <c r="W260" s="392">
        <f t="shared" si="66"/>
        <v>0</v>
      </c>
      <c r="X260" s="392">
        <f t="shared" si="66"/>
        <v>1490</v>
      </c>
      <c r="Y260" s="392">
        <f t="shared" si="66"/>
        <v>0</v>
      </c>
      <c r="AA260" s="392">
        <f t="shared" si="67"/>
        <v>0</v>
      </c>
      <c r="AB260" s="392">
        <f t="shared" si="67"/>
        <v>0</v>
      </c>
      <c r="AC260" s="392">
        <f t="shared" si="67"/>
        <v>0</v>
      </c>
      <c r="AD260" s="392">
        <f t="shared" si="67"/>
        <v>0</v>
      </c>
      <c r="AE260" s="392">
        <f t="shared" si="67"/>
        <v>0</v>
      </c>
      <c r="AG260" s="409">
        <f t="shared" si="72"/>
        <v>0</v>
      </c>
      <c r="AH260" s="409">
        <f t="shared" si="72"/>
        <v>0</v>
      </c>
      <c r="AI260" s="409">
        <f t="shared" si="72"/>
        <v>0</v>
      </c>
      <c r="AJ260" s="409">
        <f t="shared" si="72"/>
        <v>1</v>
      </c>
      <c r="AK260" s="409">
        <f t="shared" si="72"/>
        <v>0</v>
      </c>
      <c r="AN260" s="391">
        <v>1490</v>
      </c>
      <c r="AO260" s="423">
        <f t="shared" si="69"/>
        <v>0</v>
      </c>
    </row>
    <row r="261" spans="1:41">
      <c r="A261" s="391" t="s">
        <v>632</v>
      </c>
      <c r="B261" s="408">
        <v>37911</v>
      </c>
      <c r="C261" s="391" t="s">
        <v>1047</v>
      </c>
      <c r="D261" s="391" t="s">
        <v>1048</v>
      </c>
      <c r="E261" s="391" t="s">
        <v>539</v>
      </c>
      <c r="F261" s="391" t="s">
        <v>540</v>
      </c>
      <c r="G261" s="391">
        <v>5</v>
      </c>
      <c r="H261" s="392">
        <v>1231.8699999999999</v>
      </c>
      <c r="I261" s="392">
        <v>1231.8699999999999</v>
      </c>
      <c r="J261" s="392">
        <v>0</v>
      </c>
      <c r="K261" s="391" t="s">
        <v>515</v>
      </c>
      <c r="L261" s="391" t="s">
        <v>515</v>
      </c>
      <c r="O261" s="392">
        <f t="shared" si="71"/>
        <v>0</v>
      </c>
      <c r="P261" s="392">
        <f t="shared" si="71"/>
        <v>0</v>
      </c>
      <c r="Q261" s="392">
        <f t="shared" si="71"/>
        <v>0</v>
      </c>
      <c r="R261" s="392">
        <f t="shared" si="71"/>
        <v>1231.8699999999999</v>
      </c>
      <c r="S261" s="392">
        <f t="shared" si="71"/>
        <v>0</v>
      </c>
      <c r="U261" s="392">
        <f t="shared" si="66"/>
        <v>0</v>
      </c>
      <c r="V261" s="392">
        <f t="shared" si="66"/>
        <v>0</v>
      </c>
      <c r="W261" s="392">
        <f t="shared" si="66"/>
        <v>0</v>
      </c>
      <c r="X261" s="392">
        <f t="shared" si="66"/>
        <v>1231.8699999999999</v>
      </c>
      <c r="Y261" s="392">
        <f t="shared" si="66"/>
        <v>0</v>
      </c>
      <c r="AA261" s="392">
        <f t="shared" si="67"/>
        <v>0</v>
      </c>
      <c r="AB261" s="392">
        <f t="shared" si="67"/>
        <v>0</v>
      </c>
      <c r="AC261" s="392">
        <f t="shared" si="67"/>
        <v>0</v>
      </c>
      <c r="AD261" s="392">
        <f t="shared" si="67"/>
        <v>0</v>
      </c>
      <c r="AE261" s="392">
        <f t="shared" si="67"/>
        <v>0</v>
      </c>
      <c r="AG261" s="409">
        <f t="shared" si="72"/>
        <v>0</v>
      </c>
      <c r="AH261" s="409">
        <f t="shared" si="72"/>
        <v>0</v>
      </c>
      <c r="AI261" s="409">
        <f t="shared" si="72"/>
        <v>0</v>
      </c>
      <c r="AJ261" s="409">
        <f t="shared" si="72"/>
        <v>1</v>
      </c>
      <c r="AK261" s="409">
        <f t="shared" si="72"/>
        <v>0</v>
      </c>
      <c r="AN261" s="391">
        <v>1231.8699999999999</v>
      </c>
      <c r="AO261" s="423">
        <f t="shared" si="69"/>
        <v>0</v>
      </c>
    </row>
    <row r="262" spans="1:41">
      <c r="A262" s="391" t="s">
        <v>632</v>
      </c>
      <c r="B262" s="408">
        <v>37939</v>
      </c>
      <c r="C262" s="391" t="s">
        <v>1049</v>
      </c>
      <c r="D262" s="391" t="s">
        <v>1050</v>
      </c>
      <c r="E262" s="391" t="s">
        <v>539</v>
      </c>
      <c r="F262" s="391" t="s">
        <v>540</v>
      </c>
      <c r="G262" s="391">
        <v>5</v>
      </c>
      <c r="H262" s="392">
        <v>892.49</v>
      </c>
      <c r="I262" s="392">
        <v>892.49</v>
      </c>
      <c r="J262" s="392">
        <v>0</v>
      </c>
      <c r="K262" s="391" t="s">
        <v>515</v>
      </c>
      <c r="L262" s="391" t="s">
        <v>515</v>
      </c>
      <c r="O262" s="392">
        <f t="shared" ref="O262:S275" si="73">IF(O$8=$K262,$H262,0)</f>
        <v>0</v>
      </c>
      <c r="P262" s="392">
        <f t="shared" si="73"/>
        <v>0</v>
      </c>
      <c r="Q262" s="392">
        <f t="shared" si="73"/>
        <v>0</v>
      </c>
      <c r="R262" s="392">
        <f t="shared" si="73"/>
        <v>892.49</v>
      </c>
      <c r="S262" s="392">
        <f t="shared" si="73"/>
        <v>0</v>
      </c>
      <c r="U262" s="392">
        <f t="shared" si="66"/>
        <v>0</v>
      </c>
      <c r="V262" s="392">
        <f t="shared" si="66"/>
        <v>0</v>
      </c>
      <c r="W262" s="392">
        <f t="shared" si="66"/>
        <v>0</v>
      </c>
      <c r="X262" s="392">
        <f t="shared" si="66"/>
        <v>892.49</v>
      </c>
      <c r="Y262" s="392">
        <f t="shared" si="66"/>
        <v>0</v>
      </c>
      <c r="AA262" s="392">
        <f t="shared" si="67"/>
        <v>0</v>
      </c>
      <c r="AB262" s="392">
        <f t="shared" si="67"/>
        <v>0</v>
      </c>
      <c r="AC262" s="392">
        <f t="shared" si="67"/>
        <v>0</v>
      </c>
      <c r="AD262" s="392">
        <f t="shared" si="67"/>
        <v>0</v>
      </c>
      <c r="AE262" s="392">
        <f t="shared" si="67"/>
        <v>0</v>
      </c>
      <c r="AG262" s="409">
        <f t="shared" si="72"/>
        <v>0</v>
      </c>
      <c r="AH262" s="409">
        <f t="shared" si="72"/>
        <v>0</v>
      </c>
      <c r="AI262" s="409">
        <f t="shared" si="72"/>
        <v>0</v>
      </c>
      <c r="AJ262" s="409">
        <f t="shared" si="72"/>
        <v>1</v>
      </c>
      <c r="AK262" s="409">
        <f t="shared" si="72"/>
        <v>0</v>
      </c>
      <c r="AN262" s="391">
        <v>892.49</v>
      </c>
      <c r="AO262" s="423">
        <f t="shared" si="69"/>
        <v>0</v>
      </c>
    </row>
    <row r="263" spans="1:41">
      <c r="A263" s="391" t="s">
        <v>632</v>
      </c>
      <c r="B263" s="408">
        <v>37951</v>
      </c>
      <c r="C263" s="391" t="s">
        <v>1051</v>
      </c>
      <c r="D263" s="391" t="s">
        <v>1052</v>
      </c>
      <c r="E263" s="391" t="s">
        <v>539</v>
      </c>
      <c r="F263" s="391" t="s">
        <v>540</v>
      </c>
      <c r="G263" s="391">
        <v>5</v>
      </c>
      <c r="H263" s="392">
        <v>24975</v>
      </c>
      <c r="I263" s="392">
        <v>24975</v>
      </c>
      <c r="J263" s="392">
        <v>0</v>
      </c>
      <c r="K263" s="391" t="s">
        <v>515</v>
      </c>
      <c r="L263" s="391" t="s">
        <v>515</v>
      </c>
      <c r="O263" s="392">
        <f t="shared" si="73"/>
        <v>0</v>
      </c>
      <c r="P263" s="392">
        <f t="shared" si="73"/>
        <v>0</v>
      </c>
      <c r="Q263" s="392">
        <f t="shared" si="73"/>
        <v>0</v>
      </c>
      <c r="R263" s="392">
        <f t="shared" si="73"/>
        <v>24975</v>
      </c>
      <c r="S263" s="392">
        <f t="shared" si="73"/>
        <v>0</v>
      </c>
      <c r="U263" s="392">
        <f t="shared" si="66"/>
        <v>0</v>
      </c>
      <c r="V263" s="392">
        <f t="shared" si="66"/>
        <v>0</v>
      </c>
      <c r="W263" s="392">
        <f t="shared" si="66"/>
        <v>0</v>
      </c>
      <c r="X263" s="392">
        <f t="shared" si="66"/>
        <v>24975</v>
      </c>
      <c r="Y263" s="392">
        <f t="shared" si="66"/>
        <v>0</v>
      </c>
      <c r="AA263" s="392">
        <f t="shared" si="67"/>
        <v>0</v>
      </c>
      <c r="AB263" s="392">
        <f t="shared" si="67"/>
        <v>0</v>
      </c>
      <c r="AC263" s="392">
        <f t="shared" si="67"/>
        <v>0</v>
      </c>
      <c r="AD263" s="392">
        <f t="shared" si="67"/>
        <v>0</v>
      </c>
      <c r="AE263" s="392">
        <f t="shared" si="67"/>
        <v>0</v>
      </c>
      <c r="AG263" s="409">
        <f t="shared" si="72"/>
        <v>0</v>
      </c>
      <c r="AH263" s="409">
        <f t="shared" si="72"/>
        <v>0</v>
      </c>
      <c r="AI263" s="409">
        <f t="shared" si="72"/>
        <v>0</v>
      </c>
      <c r="AJ263" s="409">
        <f t="shared" si="72"/>
        <v>1</v>
      </c>
      <c r="AK263" s="409">
        <f t="shared" si="72"/>
        <v>0</v>
      </c>
      <c r="AN263" s="391">
        <v>24975</v>
      </c>
      <c r="AO263" s="423">
        <f t="shared" si="69"/>
        <v>0</v>
      </c>
    </row>
    <row r="264" spans="1:41">
      <c r="A264" s="391" t="s">
        <v>632</v>
      </c>
      <c r="B264" s="408">
        <v>37951</v>
      </c>
      <c r="C264" s="391" t="s">
        <v>1053</v>
      </c>
      <c r="D264" s="391" t="s">
        <v>1054</v>
      </c>
      <c r="E264" s="391" t="s">
        <v>539</v>
      </c>
      <c r="F264" s="391" t="s">
        <v>540</v>
      </c>
      <c r="G264" s="391">
        <v>5</v>
      </c>
      <c r="H264" s="392">
        <v>2030</v>
      </c>
      <c r="I264" s="392">
        <v>2030</v>
      </c>
      <c r="J264" s="392">
        <v>0</v>
      </c>
      <c r="K264" s="391" t="s">
        <v>515</v>
      </c>
      <c r="L264" s="391" t="s">
        <v>515</v>
      </c>
      <c r="O264" s="392">
        <f t="shared" si="73"/>
        <v>0</v>
      </c>
      <c r="P264" s="392">
        <f t="shared" si="73"/>
        <v>0</v>
      </c>
      <c r="Q264" s="392">
        <f t="shared" si="73"/>
        <v>0</v>
      </c>
      <c r="R264" s="392">
        <f t="shared" si="73"/>
        <v>2030</v>
      </c>
      <c r="S264" s="392">
        <f t="shared" si="73"/>
        <v>0</v>
      </c>
      <c r="U264" s="392">
        <f t="shared" si="66"/>
        <v>0</v>
      </c>
      <c r="V264" s="392">
        <f t="shared" si="66"/>
        <v>0</v>
      </c>
      <c r="W264" s="392">
        <f t="shared" si="66"/>
        <v>0</v>
      </c>
      <c r="X264" s="392">
        <f t="shared" si="66"/>
        <v>2030</v>
      </c>
      <c r="Y264" s="392">
        <f t="shared" si="66"/>
        <v>0</v>
      </c>
      <c r="AA264" s="392">
        <f t="shared" si="67"/>
        <v>0</v>
      </c>
      <c r="AB264" s="392">
        <f t="shared" si="67"/>
        <v>0</v>
      </c>
      <c r="AC264" s="392">
        <f t="shared" si="67"/>
        <v>0</v>
      </c>
      <c r="AD264" s="392">
        <f t="shared" si="67"/>
        <v>0</v>
      </c>
      <c r="AE264" s="392">
        <f t="shared" si="67"/>
        <v>0</v>
      </c>
      <c r="AG264" s="409">
        <f t="shared" si="72"/>
        <v>0</v>
      </c>
      <c r="AH264" s="409">
        <f t="shared" si="72"/>
        <v>0</v>
      </c>
      <c r="AI264" s="409">
        <f t="shared" si="72"/>
        <v>0</v>
      </c>
      <c r="AJ264" s="409">
        <f t="shared" si="72"/>
        <v>1</v>
      </c>
      <c r="AK264" s="409">
        <f t="shared" si="72"/>
        <v>0</v>
      </c>
      <c r="AN264" s="391">
        <v>2030</v>
      </c>
      <c r="AO264" s="423">
        <f t="shared" si="69"/>
        <v>0</v>
      </c>
    </row>
    <row r="265" spans="1:41">
      <c r="A265" s="391" t="s">
        <v>682</v>
      </c>
      <c r="B265" s="408">
        <v>38037</v>
      </c>
      <c r="C265" s="391" t="s">
        <v>1055</v>
      </c>
      <c r="D265" s="391" t="s">
        <v>1056</v>
      </c>
      <c r="E265" s="391" t="s">
        <v>539</v>
      </c>
      <c r="F265" s="391" t="s">
        <v>540</v>
      </c>
      <c r="G265" s="391">
        <v>5</v>
      </c>
      <c r="H265" s="392">
        <v>812.7</v>
      </c>
      <c r="I265" s="392">
        <v>812.7</v>
      </c>
      <c r="J265" s="392">
        <v>0</v>
      </c>
      <c r="K265" s="391" t="s">
        <v>515</v>
      </c>
      <c r="L265" s="391" t="s">
        <v>515</v>
      </c>
      <c r="O265" s="392">
        <f t="shared" si="73"/>
        <v>0</v>
      </c>
      <c r="P265" s="392">
        <f t="shared" si="73"/>
        <v>0</v>
      </c>
      <c r="Q265" s="392">
        <f t="shared" si="73"/>
        <v>0</v>
      </c>
      <c r="R265" s="392">
        <f t="shared" si="73"/>
        <v>812.7</v>
      </c>
      <c r="S265" s="392">
        <f t="shared" si="73"/>
        <v>0</v>
      </c>
      <c r="U265" s="392">
        <f t="shared" si="66"/>
        <v>0</v>
      </c>
      <c r="V265" s="392">
        <f t="shared" si="66"/>
        <v>0</v>
      </c>
      <c r="W265" s="392">
        <f t="shared" si="66"/>
        <v>0</v>
      </c>
      <c r="X265" s="392">
        <f t="shared" si="66"/>
        <v>812.7</v>
      </c>
      <c r="Y265" s="392">
        <f t="shared" si="66"/>
        <v>0</v>
      </c>
      <c r="AA265" s="392">
        <f t="shared" si="67"/>
        <v>0</v>
      </c>
      <c r="AB265" s="392">
        <f t="shared" si="67"/>
        <v>0</v>
      </c>
      <c r="AC265" s="392">
        <f t="shared" si="67"/>
        <v>0</v>
      </c>
      <c r="AD265" s="392">
        <f t="shared" si="67"/>
        <v>0</v>
      </c>
      <c r="AE265" s="392">
        <f t="shared" si="67"/>
        <v>0</v>
      </c>
      <c r="AG265" s="409">
        <f t="shared" si="72"/>
        <v>0</v>
      </c>
      <c r="AH265" s="409">
        <f t="shared" si="72"/>
        <v>0</v>
      </c>
      <c r="AI265" s="409">
        <f t="shared" si="72"/>
        <v>0</v>
      </c>
      <c r="AJ265" s="409">
        <f t="shared" si="72"/>
        <v>1</v>
      </c>
      <c r="AK265" s="409">
        <f t="shared" si="72"/>
        <v>0</v>
      </c>
      <c r="AN265" s="391">
        <v>812.7</v>
      </c>
      <c r="AO265" s="423">
        <f t="shared" si="69"/>
        <v>0</v>
      </c>
    </row>
    <row r="266" spans="1:41">
      <c r="A266" s="391" t="s">
        <v>632</v>
      </c>
      <c r="B266" s="408">
        <v>38037</v>
      </c>
      <c r="C266" s="391" t="s">
        <v>1057</v>
      </c>
      <c r="D266" s="391" t="s">
        <v>1058</v>
      </c>
      <c r="E266" s="391" t="s">
        <v>539</v>
      </c>
      <c r="F266" s="391" t="s">
        <v>540</v>
      </c>
      <c r="G266" s="391">
        <v>5</v>
      </c>
      <c r="H266" s="392">
        <v>0</v>
      </c>
      <c r="I266" s="392">
        <v>0</v>
      </c>
      <c r="J266" s="392">
        <v>0</v>
      </c>
      <c r="K266" s="391" t="s">
        <v>515</v>
      </c>
      <c r="L266" s="391" t="s">
        <v>515</v>
      </c>
      <c r="O266" s="392">
        <f t="shared" si="73"/>
        <v>0</v>
      </c>
      <c r="P266" s="392">
        <f t="shared" si="73"/>
        <v>0</v>
      </c>
      <c r="Q266" s="392">
        <f t="shared" si="73"/>
        <v>0</v>
      </c>
      <c r="R266" s="392">
        <f t="shared" si="73"/>
        <v>0</v>
      </c>
      <c r="S266" s="392">
        <f t="shared" si="73"/>
        <v>0</v>
      </c>
      <c r="U266" s="392">
        <f t="shared" si="66"/>
        <v>0</v>
      </c>
      <c r="V266" s="392">
        <f t="shared" si="66"/>
        <v>0</v>
      </c>
      <c r="W266" s="392">
        <f t="shared" si="66"/>
        <v>0</v>
      </c>
      <c r="X266" s="392">
        <f t="shared" si="66"/>
        <v>0</v>
      </c>
      <c r="Y266" s="392">
        <f t="shared" si="66"/>
        <v>0</v>
      </c>
      <c r="AA266" s="392">
        <f t="shared" si="67"/>
        <v>0</v>
      </c>
      <c r="AB266" s="392">
        <f t="shared" si="67"/>
        <v>0</v>
      </c>
      <c r="AC266" s="392">
        <f t="shared" si="67"/>
        <v>0</v>
      </c>
      <c r="AD266" s="392">
        <f t="shared" si="67"/>
        <v>0</v>
      </c>
      <c r="AE266" s="392">
        <f t="shared" si="67"/>
        <v>0</v>
      </c>
      <c r="AG266" s="409">
        <f t="shared" si="72"/>
        <v>0</v>
      </c>
      <c r="AH266" s="409">
        <f t="shared" si="72"/>
        <v>0</v>
      </c>
      <c r="AI266" s="409">
        <f t="shared" si="72"/>
        <v>0</v>
      </c>
      <c r="AJ266" s="409">
        <f t="shared" si="72"/>
        <v>0</v>
      </c>
      <c r="AK266" s="409">
        <f t="shared" si="72"/>
        <v>0</v>
      </c>
      <c r="AN266" s="391">
        <v>0</v>
      </c>
      <c r="AO266" s="423">
        <f t="shared" si="69"/>
        <v>0</v>
      </c>
    </row>
    <row r="267" spans="1:41">
      <c r="A267" s="391" t="s">
        <v>632</v>
      </c>
      <c r="B267" s="408">
        <v>38037</v>
      </c>
      <c r="C267" s="391" t="s">
        <v>1059</v>
      </c>
      <c r="D267" s="391" t="s">
        <v>1060</v>
      </c>
      <c r="E267" s="391" t="s">
        <v>539</v>
      </c>
      <c r="F267" s="391" t="s">
        <v>540</v>
      </c>
      <c r="G267" s="391">
        <v>5</v>
      </c>
      <c r="H267" s="392">
        <v>1693.35</v>
      </c>
      <c r="I267" s="392">
        <v>1693.35</v>
      </c>
      <c r="J267" s="392">
        <v>0</v>
      </c>
      <c r="K267" s="391" t="s">
        <v>515</v>
      </c>
      <c r="L267" s="391" t="s">
        <v>515</v>
      </c>
      <c r="O267" s="392">
        <f t="shared" si="73"/>
        <v>0</v>
      </c>
      <c r="P267" s="392">
        <f t="shared" si="73"/>
        <v>0</v>
      </c>
      <c r="Q267" s="392">
        <f t="shared" si="73"/>
        <v>0</v>
      </c>
      <c r="R267" s="392">
        <f t="shared" si="73"/>
        <v>1693.35</v>
      </c>
      <c r="S267" s="392">
        <f t="shared" si="73"/>
        <v>0</v>
      </c>
      <c r="U267" s="392">
        <f t="shared" si="66"/>
        <v>0</v>
      </c>
      <c r="V267" s="392">
        <f t="shared" si="66"/>
        <v>0</v>
      </c>
      <c r="W267" s="392">
        <f t="shared" si="66"/>
        <v>0</v>
      </c>
      <c r="X267" s="392">
        <f t="shared" si="66"/>
        <v>1693.35</v>
      </c>
      <c r="Y267" s="392">
        <f t="shared" si="66"/>
        <v>0</v>
      </c>
      <c r="AA267" s="392">
        <f t="shared" si="67"/>
        <v>0</v>
      </c>
      <c r="AB267" s="392">
        <f t="shared" si="67"/>
        <v>0</v>
      </c>
      <c r="AC267" s="392">
        <f t="shared" si="67"/>
        <v>0</v>
      </c>
      <c r="AD267" s="392">
        <f t="shared" si="67"/>
        <v>0</v>
      </c>
      <c r="AE267" s="392">
        <f t="shared" si="67"/>
        <v>0</v>
      </c>
      <c r="AG267" s="409">
        <f t="shared" si="72"/>
        <v>0</v>
      </c>
      <c r="AH267" s="409">
        <f t="shared" si="72"/>
        <v>0</v>
      </c>
      <c r="AI267" s="409">
        <f t="shared" si="72"/>
        <v>0</v>
      </c>
      <c r="AJ267" s="409">
        <f t="shared" si="72"/>
        <v>1</v>
      </c>
      <c r="AK267" s="409">
        <f t="shared" si="72"/>
        <v>0</v>
      </c>
      <c r="AN267" s="391">
        <v>1693.35</v>
      </c>
      <c r="AO267" s="423">
        <f t="shared" si="69"/>
        <v>0</v>
      </c>
    </row>
    <row r="268" spans="1:41">
      <c r="A268" s="391" t="s">
        <v>632</v>
      </c>
      <c r="B268" s="408">
        <v>38065</v>
      </c>
      <c r="C268" s="391" t="s">
        <v>1061</v>
      </c>
      <c r="D268" s="391" t="s">
        <v>1062</v>
      </c>
      <c r="E268" s="391" t="s">
        <v>539</v>
      </c>
      <c r="F268" s="391" t="s">
        <v>540</v>
      </c>
      <c r="G268" s="391">
        <v>5</v>
      </c>
      <c r="H268" s="392">
        <v>0</v>
      </c>
      <c r="I268" s="392">
        <v>0</v>
      </c>
      <c r="J268" s="392">
        <v>0</v>
      </c>
      <c r="K268" s="391" t="s">
        <v>515</v>
      </c>
      <c r="L268" s="391" t="s">
        <v>515</v>
      </c>
      <c r="O268" s="392">
        <f t="shared" si="73"/>
        <v>0</v>
      </c>
      <c r="P268" s="392">
        <f t="shared" si="73"/>
        <v>0</v>
      </c>
      <c r="Q268" s="392">
        <f t="shared" si="73"/>
        <v>0</v>
      </c>
      <c r="R268" s="392">
        <f t="shared" si="73"/>
        <v>0</v>
      </c>
      <c r="S268" s="392">
        <f t="shared" si="73"/>
        <v>0</v>
      </c>
      <c r="U268" s="392">
        <f t="shared" si="66"/>
        <v>0</v>
      </c>
      <c r="V268" s="392">
        <f t="shared" si="66"/>
        <v>0</v>
      </c>
      <c r="W268" s="392">
        <f t="shared" si="66"/>
        <v>0</v>
      </c>
      <c r="X268" s="392">
        <f t="shared" si="66"/>
        <v>0</v>
      </c>
      <c r="Y268" s="392">
        <f t="shared" si="66"/>
        <v>0</v>
      </c>
      <c r="AA268" s="392">
        <f t="shared" si="67"/>
        <v>0</v>
      </c>
      <c r="AB268" s="392">
        <f t="shared" si="67"/>
        <v>0</v>
      </c>
      <c r="AC268" s="392">
        <f t="shared" si="67"/>
        <v>0</v>
      </c>
      <c r="AD268" s="392">
        <f t="shared" si="67"/>
        <v>0</v>
      </c>
      <c r="AE268" s="392">
        <f t="shared" si="67"/>
        <v>0</v>
      </c>
      <c r="AG268" s="409">
        <f t="shared" si="72"/>
        <v>0</v>
      </c>
      <c r="AH268" s="409">
        <f t="shared" si="72"/>
        <v>0</v>
      </c>
      <c r="AI268" s="409">
        <f t="shared" si="72"/>
        <v>0</v>
      </c>
      <c r="AJ268" s="409">
        <f t="shared" si="72"/>
        <v>0</v>
      </c>
      <c r="AK268" s="409">
        <f t="shared" si="72"/>
        <v>0</v>
      </c>
      <c r="AN268" s="391">
        <v>0</v>
      </c>
      <c r="AO268" s="423">
        <f t="shared" si="69"/>
        <v>0</v>
      </c>
    </row>
    <row r="269" spans="1:41">
      <c r="A269" s="391" t="s">
        <v>632</v>
      </c>
      <c r="B269" s="408">
        <v>38065</v>
      </c>
      <c r="C269" s="391" t="s">
        <v>1063</v>
      </c>
      <c r="D269" s="391" t="s">
        <v>1064</v>
      </c>
      <c r="E269" s="391" t="s">
        <v>539</v>
      </c>
      <c r="F269" s="391" t="s">
        <v>540</v>
      </c>
      <c r="G269" s="391">
        <v>5</v>
      </c>
      <c r="H269" s="392">
        <v>1790.05</v>
      </c>
      <c r="I269" s="392">
        <v>1790.05</v>
      </c>
      <c r="J269" s="392">
        <v>0</v>
      </c>
      <c r="K269" s="391" t="s">
        <v>515</v>
      </c>
      <c r="L269" s="391" t="s">
        <v>515</v>
      </c>
      <c r="O269" s="392">
        <f t="shared" si="73"/>
        <v>0</v>
      </c>
      <c r="P269" s="392">
        <f t="shared" si="73"/>
        <v>0</v>
      </c>
      <c r="Q269" s="392">
        <f t="shared" si="73"/>
        <v>0</v>
      </c>
      <c r="R269" s="392">
        <f t="shared" si="73"/>
        <v>1790.05</v>
      </c>
      <c r="S269" s="392">
        <f t="shared" si="73"/>
        <v>0</v>
      </c>
      <c r="U269" s="392">
        <f t="shared" si="66"/>
        <v>0</v>
      </c>
      <c r="V269" s="392">
        <f t="shared" si="66"/>
        <v>0</v>
      </c>
      <c r="W269" s="392">
        <f t="shared" si="66"/>
        <v>0</v>
      </c>
      <c r="X269" s="392">
        <f t="shared" si="66"/>
        <v>1790.05</v>
      </c>
      <c r="Y269" s="392">
        <f t="shared" si="66"/>
        <v>0</v>
      </c>
      <c r="AA269" s="392">
        <f t="shared" si="67"/>
        <v>0</v>
      </c>
      <c r="AB269" s="392">
        <f t="shared" si="67"/>
        <v>0</v>
      </c>
      <c r="AC269" s="392">
        <f t="shared" si="67"/>
        <v>0</v>
      </c>
      <c r="AD269" s="392">
        <f t="shared" si="67"/>
        <v>0</v>
      </c>
      <c r="AE269" s="392">
        <f t="shared" si="67"/>
        <v>0</v>
      </c>
      <c r="AG269" s="409">
        <f t="shared" si="72"/>
        <v>0</v>
      </c>
      <c r="AH269" s="409">
        <f t="shared" si="72"/>
        <v>0</v>
      </c>
      <c r="AI269" s="409">
        <f t="shared" si="72"/>
        <v>0</v>
      </c>
      <c r="AJ269" s="409">
        <f t="shared" si="72"/>
        <v>1</v>
      </c>
      <c r="AK269" s="409">
        <f t="shared" si="72"/>
        <v>0</v>
      </c>
      <c r="AN269" s="391">
        <v>1790.05</v>
      </c>
      <c r="AO269" s="423">
        <f t="shared" si="69"/>
        <v>0</v>
      </c>
    </row>
    <row r="270" spans="1:41">
      <c r="A270" s="391" t="s">
        <v>982</v>
      </c>
      <c r="B270" s="408">
        <v>38079</v>
      </c>
      <c r="C270" s="391" t="s">
        <v>1065</v>
      </c>
      <c r="D270" s="391" t="s">
        <v>1066</v>
      </c>
      <c r="E270" s="391" t="s">
        <v>539</v>
      </c>
      <c r="F270" s="391" t="s">
        <v>540</v>
      </c>
      <c r="G270" s="391">
        <v>5</v>
      </c>
      <c r="H270" s="392">
        <v>13410.75</v>
      </c>
      <c r="I270" s="392">
        <v>13410.75</v>
      </c>
      <c r="J270" s="392">
        <v>0</v>
      </c>
      <c r="K270" s="391" t="s">
        <v>515</v>
      </c>
      <c r="L270" s="391" t="s">
        <v>515</v>
      </c>
      <c r="O270" s="392">
        <f t="shared" si="73"/>
        <v>0</v>
      </c>
      <c r="P270" s="392">
        <f t="shared" si="73"/>
        <v>0</v>
      </c>
      <c r="Q270" s="392">
        <f t="shared" si="73"/>
        <v>0</v>
      </c>
      <c r="R270" s="392">
        <f t="shared" si="73"/>
        <v>13410.75</v>
      </c>
      <c r="S270" s="392">
        <f t="shared" si="73"/>
        <v>0</v>
      </c>
      <c r="U270" s="392">
        <f t="shared" si="66"/>
        <v>0</v>
      </c>
      <c r="V270" s="392">
        <f t="shared" si="66"/>
        <v>0</v>
      </c>
      <c r="W270" s="392">
        <f t="shared" si="66"/>
        <v>0</v>
      </c>
      <c r="X270" s="392">
        <f t="shared" si="66"/>
        <v>13410.75</v>
      </c>
      <c r="Y270" s="392">
        <f t="shared" si="66"/>
        <v>0</v>
      </c>
      <c r="AA270" s="392">
        <f t="shared" si="67"/>
        <v>0</v>
      </c>
      <c r="AB270" s="392">
        <f t="shared" si="67"/>
        <v>0</v>
      </c>
      <c r="AC270" s="392">
        <f t="shared" si="67"/>
        <v>0</v>
      </c>
      <c r="AD270" s="392">
        <f t="shared" si="67"/>
        <v>0</v>
      </c>
      <c r="AE270" s="392">
        <f t="shared" si="67"/>
        <v>0</v>
      </c>
      <c r="AG270" s="409">
        <f t="shared" si="72"/>
        <v>0</v>
      </c>
      <c r="AH270" s="409">
        <f t="shared" si="72"/>
        <v>0</v>
      </c>
      <c r="AI270" s="409">
        <f t="shared" si="72"/>
        <v>0</v>
      </c>
      <c r="AJ270" s="409">
        <f t="shared" si="72"/>
        <v>1</v>
      </c>
      <c r="AK270" s="409">
        <f t="shared" si="72"/>
        <v>0</v>
      </c>
      <c r="AN270" s="391">
        <v>13410.75</v>
      </c>
      <c r="AO270" s="423">
        <f t="shared" si="69"/>
        <v>0</v>
      </c>
    </row>
    <row r="271" spans="1:41">
      <c r="A271" s="391" t="s">
        <v>632</v>
      </c>
      <c r="B271" s="408">
        <v>38079</v>
      </c>
      <c r="C271" s="391" t="s">
        <v>1067</v>
      </c>
      <c r="D271" s="391" t="s">
        <v>1068</v>
      </c>
      <c r="E271" s="391" t="s">
        <v>539</v>
      </c>
      <c r="F271" s="391" t="s">
        <v>540</v>
      </c>
      <c r="G271" s="391">
        <v>5</v>
      </c>
      <c r="H271" s="392">
        <v>4769</v>
      </c>
      <c r="I271" s="392">
        <v>4769</v>
      </c>
      <c r="J271" s="392">
        <v>0</v>
      </c>
      <c r="K271" s="391" t="s">
        <v>515</v>
      </c>
      <c r="L271" s="391" t="s">
        <v>515</v>
      </c>
      <c r="O271" s="392">
        <f t="shared" si="73"/>
        <v>0</v>
      </c>
      <c r="P271" s="392">
        <f t="shared" si="73"/>
        <v>0</v>
      </c>
      <c r="Q271" s="392">
        <f t="shared" si="73"/>
        <v>0</v>
      </c>
      <c r="R271" s="392">
        <f t="shared" si="73"/>
        <v>4769</v>
      </c>
      <c r="S271" s="392">
        <f t="shared" si="73"/>
        <v>0</v>
      </c>
      <c r="U271" s="392">
        <f t="shared" si="66"/>
        <v>0</v>
      </c>
      <c r="V271" s="392">
        <f t="shared" si="66"/>
        <v>0</v>
      </c>
      <c r="W271" s="392">
        <f t="shared" si="66"/>
        <v>0</v>
      </c>
      <c r="X271" s="392">
        <f t="shared" si="66"/>
        <v>4769</v>
      </c>
      <c r="Y271" s="392">
        <f t="shared" si="66"/>
        <v>0</v>
      </c>
      <c r="AA271" s="392">
        <f t="shared" si="67"/>
        <v>0</v>
      </c>
      <c r="AB271" s="392">
        <f t="shared" si="67"/>
        <v>0</v>
      </c>
      <c r="AC271" s="392">
        <f t="shared" si="67"/>
        <v>0</v>
      </c>
      <c r="AD271" s="392">
        <f t="shared" si="67"/>
        <v>0</v>
      </c>
      <c r="AE271" s="392">
        <f t="shared" si="67"/>
        <v>0</v>
      </c>
      <c r="AG271" s="409">
        <f t="shared" si="72"/>
        <v>0</v>
      </c>
      <c r="AH271" s="409">
        <f t="shared" si="72"/>
        <v>0</v>
      </c>
      <c r="AI271" s="409">
        <f t="shared" si="72"/>
        <v>0</v>
      </c>
      <c r="AJ271" s="409">
        <f t="shared" si="72"/>
        <v>1</v>
      </c>
      <c r="AK271" s="409">
        <f t="shared" si="72"/>
        <v>0</v>
      </c>
      <c r="AN271" s="391">
        <v>4769</v>
      </c>
      <c r="AO271" s="423">
        <f t="shared" si="69"/>
        <v>0</v>
      </c>
    </row>
    <row r="272" spans="1:41">
      <c r="A272" s="391" t="s">
        <v>682</v>
      </c>
      <c r="B272" s="408">
        <v>38093</v>
      </c>
      <c r="C272" s="391" t="s">
        <v>1069</v>
      </c>
      <c r="D272" s="391" t="s">
        <v>1070</v>
      </c>
      <c r="E272" s="391" t="s">
        <v>539</v>
      </c>
      <c r="F272" s="391" t="s">
        <v>540</v>
      </c>
      <c r="G272" s="391">
        <v>5</v>
      </c>
      <c r="H272" s="392">
        <v>1488.24</v>
      </c>
      <c r="I272" s="392">
        <v>1488.24</v>
      </c>
      <c r="J272" s="392">
        <v>0</v>
      </c>
      <c r="K272" s="391" t="s">
        <v>515</v>
      </c>
      <c r="L272" s="391" t="s">
        <v>515</v>
      </c>
      <c r="O272" s="392">
        <f t="shared" si="73"/>
        <v>0</v>
      </c>
      <c r="P272" s="392">
        <f t="shared" si="73"/>
        <v>0</v>
      </c>
      <c r="Q272" s="392">
        <f t="shared" si="73"/>
        <v>0</v>
      </c>
      <c r="R272" s="392">
        <f t="shared" si="73"/>
        <v>1488.24</v>
      </c>
      <c r="S272" s="392">
        <f t="shared" si="73"/>
        <v>0</v>
      </c>
      <c r="U272" s="392">
        <f t="shared" si="66"/>
        <v>0</v>
      </c>
      <c r="V272" s="392">
        <f t="shared" si="66"/>
        <v>0</v>
      </c>
      <c r="W272" s="392">
        <f t="shared" si="66"/>
        <v>0</v>
      </c>
      <c r="X272" s="392">
        <f t="shared" si="66"/>
        <v>1488.24</v>
      </c>
      <c r="Y272" s="392">
        <f t="shared" si="66"/>
        <v>0</v>
      </c>
      <c r="AA272" s="392">
        <f t="shared" si="67"/>
        <v>0</v>
      </c>
      <c r="AB272" s="392">
        <f t="shared" si="67"/>
        <v>0</v>
      </c>
      <c r="AC272" s="392">
        <f t="shared" si="67"/>
        <v>0</v>
      </c>
      <c r="AD272" s="392">
        <f t="shared" si="67"/>
        <v>0</v>
      </c>
      <c r="AE272" s="392">
        <f t="shared" si="67"/>
        <v>0</v>
      </c>
      <c r="AG272" s="409">
        <f t="shared" si="72"/>
        <v>0</v>
      </c>
      <c r="AH272" s="409">
        <f t="shared" si="72"/>
        <v>0</v>
      </c>
      <c r="AI272" s="409">
        <f t="shared" si="72"/>
        <v>0</v>
      </c>
      <c r="AJ272" s="409">
        <f t="shared" si="72"/>
        <v>1</v>
      </c>
      <c r="AK272" s="409">
        <f t="shared" si="72"/>
        <v>0</v>
      </c>
      <c r="AN272" s="391">
        <v>1488.24</v>
      </c>
      <c r="AO272" s="423">
        <f t="shared" si="69"/>
        <v>0</v>
      </c>
    </row>
    <row r="273" spans="1:41">
      <c r="A273" s="391" t="s">
        <v>682</v>
      </c>
      <c r="B273" s="408">
        <v>38093</v>
      </c>
      <c r="C273" s="391" t="s">
        <v>1069</v>
      </c>
      <c r="D273" s="391" t="s">
        <v>1071</v>
      </c>
      <c r="E273" s="391" t="s">
        <v>539</v>
      </c>
      <c r="F273" s="391" t="s">
        <v>540</v>
      </c>
      <c r="G273" s="391">
        <v>5</v>
      </c>
      <c r="H273" s="392">
        <v>1488.24</v>
      </c>
      <c r="I273" s="392">
        <v>1488.24</v>
      </c>
      <c r="J273" s="392">
        <v>0</v>
      </c>
      <c r="K273" s="391" t="s">
        <v>515</v>
      </c>
      <c r="L273" s="391" t="s">
        <v>515</v>
      </c>
      <c r="O273" s="392">
        <f t="shared" si="73"/>
        <v>0</v>
      </c>
      <c r="P273" s="392">
        <f t="shared" si="73"/>
        <v>0</v>
      </c>
      <c r="Q273" s="392">
        <f t="shared" si="73"/>
        <v>0</v>
      </c>
      <c r="R273" s="392">
        <f t="shared" si="73"/>
        <v>1488.24</v>
      </c>
      <c r="S273" s="392">
        <f t="shared" si="73"/>
        <v>0</v>
      </c>
      <c r="U273" s="392">
        <f t="shared" si="66"/>
        <v>0</v>
      </c>
      <c r="V273" s="392">
        <f t="shared" si="66"/>
        <v>0</v>
      </c>
      <c r="W273" s="392">
        <f t="shared" si="66"/>
        <v>0</v>
      </c>
      <c r="X273" s="392">
        <f t="shared" si="66"/>
        <v>1488.24</v>
      </c>
      <c r="Y273" s="392">
        <f t="shared" si="66"/>
        <v>0</v>
      </c>
      <c r="AA273" s="392">
        <f t="shared" si="67"/>
        <v>0</v>
      </c>
      <c r="AB273" s="392">
        <f t="shared" si="67"/>
        <v>0</v>
      </c>
      <c r="AC273" s="392">
        <f t="shared" si="67"/>
        <v>0</v>
      </c>
      <c r="AD273" s="392">
        <f t="shared" si="67"/>
        <v>0</v>
      </c>
      <c r="AE273" s="392">
        <f t="shared" si="67"/>
        <v>0</v>
      </c>
      <c r="AG273" s="409">
        <f t="shared" si="72"/>
        <v>0</v>
      </c>
      <c r="AH273" s="409">
        <f t="shared" si="72"/>
        <v>0</v>
      </c>
      <c r="AI273" s="409">
        <f t="shared" si="72"/>
        <v>0</v>
      </c>
      <c r="AJ273" s="409">
        <f t="shared" si="72"/>
        <v>1</v>
      </c>
      <c r="AK273" s="409">
        <f t="shared" si="72"/>
        <v>0</v>
      </c>
      <c r="AN273" s="391">
        <v>1488.24</v>
      </c>
      <c r="AO273" s="423">
        <f t="shared" si="69"/>
        <v>0</v>
      </c>
    </row>
    <row r="274" spans="1:41">
      <c r="A274" s="391" t="s">
        <v>567</v>
      </c>
      <c r="B274" s="408">
        <v>38107</v>
      </c>
      <c r="C274" s="391" t="s">
        <v>1072</v>
      </c>
      <c r="D274" s="391" t="s">
        <v>854</v>
      </c>
      <c r="E274" s="391" t="s">
        <v>539</v>
      </c>
      <c r="F274" s="391" t="s">
        <v>540</v>
      </c>
      <c r="G274" s="391">
        <v>30</v>
      </c>
      <c r="H274" s="392">
        <v>66655.990000000005</v>
      </c>
      <c r="I274" s="392">
        <v>26662.42</v>
      </c>
      <c r="J274" s="392">
        <v>2221.87</v>
      </c>
      <c r="K274" s="391" t="s">
        <v>505</v>
      </c>
      <c r="L274" s="391" t="s">
        <v>505</v>
      </c>
      <c r="O274" s="392">
        <f t="shared" si="73"/>
        <v>0</v>
      </c>
      <c r="P274" s="392">
        <f t="shared" si="73"/>
        <v>0</v>
      </c>
      <c r="Q274" s="392">
        <f t="shared" si="73"/>
        <v>66655.990000000005</v>
      </c>
      <c r="R274" s="392">
        <f t="shared" si="73"/>
        <v>0</v>
      </c>
      <c r="S274" s="392">
        <f t="shared" si="73"/>
        <v>0</v>
      </c>
      <c r="U274" s="392">
        <f t="shared" si="66"/>
        <v>0</v>
      </c>
      <c r="V274" s="392">
        <f t="shared" si="66"/>
        <v>0</v>
      </c>
      <c r="W274" s="392">
        <f t="shared" si="66"/>
        <v>26662.42</v>
      </c>
      <c r="X274" s="392">
        <f t="shared" si="66"/>
        <v>0</v>
      </c>
      <c r="Y274" s="392">
        <f t="shared" si="66"/>
        <v>0</v>
      </c>
      <c r="AA274" s="392">
        <f t="shared" si="67"/>
        <v>0</v>
      </c>
      <c r="AB274" s="392">
        <f t="shared" si="67"/>
        <v>0</v>
      </c>
      <c r="AC274" s="392">
        <f t="shared" si="67"/>
        <v>2221.87</v>
      </c>
      <c r="AD274" s="392">
        <f t="shared" si="67"/>
        <v>0</v>
      </c>
      <c r="AE274" s="392">
        <f t="shared" si="67"/>
        <v>0</v>
      </c>
      <c r="AG274" s="409">
        <f t="shared" si="72"/>
        <v>0</v>
      </c>
      <c r="AH274" s="409">
        <f t="shared" si="72"/>
        <v>0</v>
      </c>
      <c r="AI274" s="409">
        <f t="shared" si="72"/>
        <v>1</v>
      </c>
      <c r="AJ274" s="409">
        <f t="shared" si="72"/>
        <v>0</v>
      </c>
      <c r="AK274" s="409">
        <f t="shared" si="72"/>
        <v>0</v>
      </c>
      <c r="AN274" s="391">
        <v>66655.990000000005</v>
      </c>
      <c r="AO274" s="423">
        <f t="shared" si="69"/>
        <v>0</v>
      </c>
    </row>
    <row r="275" spans="1:41">
      <c r="A275" s="391" t="s">
        <v>616</v>
      </c>
      <c r="B275" s="408">
        <v>38107</v>
      </c>
      <c r="C275" s="391" t="s">
        <v>1073</v>
      </c>
      <c r="D275" s="391" t="s">
        <v>1074</v>
      </c>
      <c r="E275" s="391" t="s">
        <v>539</v>
      </c>
      <c r="F275" s="391" t="s">
        <v>540</v>
      </c>
      <c r="G275" s="391">
        <v>25</v>
      </c>
      <c r="H275" s="392">
        <v>36114.449999999997</v>
      </c>
      <c r="I275" s="392">
        <v>17334.95</v>
      </c>
      <c r="J275" s="392">
        <v>1444.58</v>
      </c>
      <c r="K275" s="391" t="s">
        <v>505</v>
      </c>
      <c r="L275" s="391" t="s">
        <v>505</v>
      </c>
      <c r="O275" s="392">
        <f t="shared" si="73"/>
        <v>0</v>
      </c>
      <c r="P275" s="392">
        <f t="shared" si="73"/>
        <v>0</v>
      </c>
      <c r="Q275" s="392">
        <f t="shared" si="73"/>
        <v>36114.449999999997</v>
      </c>
      <c r="R275" s="392">
        <f t="shared" si="73"/>
        <v>0</v>
      </c>
      <c r="S275" s="392">
        <f t="shared" si="73"/>
        <v>0</v>
      </c>
      <c r="U275" s="392">
        <f t="shared" si="66"/>
        <v>0</v>
      </c>
      <c r="V275" s="392">
        <f t="shared" si="66"/>
        <v>0</v>
      </c>
      <c r="W275" s="392">
        <f t="shared" si="66"/>
        <v>17334.95</v>
      </c>
      <c r="X275" s="392">
        <f t="shared" si="66"/>
        <v>0</v>
      </c>
      <c r="Y275" s="392">
        <f t="shared" si="66"/>
        <v>0</v>
      </c>
      <c r="AA275" s="392">
        <f t="shared" si="67"/>
        <v>0</v>
      </c>
      <c r="AB275" s="392">
        <f t="shared" si="67"/>
        <v>0</v>
      </c>
      <c r="AC275" s="392">
        <f t="shared" si="67"/>
        <v>1444.58</v>
      </c>
      <c r="AD275" s="392">
        <f t="shared" si="67"/>
        <v>0</v>
      </c>
      <c r="AE275" s="392">
        <f t="shared" si="67"/>
        <v>0</v>
      </c>
      <c r="AG275" s="409">
        <f t="shared" si="72"/>
        <v>0</v>
      </c>
      <c r="AH275" s="409">
        <f t="shared" si="72"/>
        <v>0</v>
      </c>
      <c r="AI275" s="409">
        <f t="shared" si="72"/>
        <v>1</v>
      </c>
      <c r="AJ275" s="409">
        <f t="shared" si="72"/>
        <v>0</v>
      </c>
      <c r="AK275" s="409">
        <f t="shared" si="72"/>
        <v>0</v>
      </c>
      <c r="AN275" s="391">
        <v>36114.449999999997</v>
      </c>
      <c r="AO275" s="423">
        <f t="shared" si="69"/>
        <v>0</v>
      </c>
    </row>
    <row r="276" spans="1:41">
      <c r="A276" s="391" t="s">
        <v>585</v>
      </c>
      <c r="B276" s="408">
        <v>38107</v>
      </c>
      <c r="C276" s="391" t="s">
        <v>1075</v>
      </c>
      <c r="D276" s="391" t="s">
        <v>1076</v>
      </c>
      <c r="E276" s="391" t="s">
        <v>539</v>
      </c>
      <c r="F276" s="391" t="s">
        <v>540</v>
      </c>
      <c r="G276" s="391">
        <v>30</v>
      </c>
      <c r="H276" s="392">
        <v>286417.2</v>
      </c>
      <c r="I276" s="392">
        <v>114566.88</v>
      </c>
      <c r="J276" s="392">
        <v>9547.24</v>
      </c>
      <c r="K276" s="391" t="s">
        <v>505</v>
      </c>
      <c r="L276" s="391" t="s">
        <v>778</v>
      </c>
      <c r="O276" s="392">
        <f>$H276*AG276</f>
        <v>0</v>
      </c>
      <c r="P276" s="392">
        <f>$H276*AH276</f>
        <v>0</v>
      </c>
      <c r="Q276" s="392">
        <f>$H276*AI276</f>
        <v>286417.2</v>
      </c>
      <c r="R276" s="392">
        <f>$H276*AJ276</f>
        <v>0</v>
      </c>
      <c r="S276" s="392">
        <f>$H276*AK276</f>
        <v>0</v>
      </c>
      <c r="U276" s="392">
        <f t="shared" si="66"/>
        <v>0</v>
      </c>
      <c r="V276" s="392">
        <f t="shared" si="66"/>
        <v>0</v>
      </c>
      <c r="W276" s="392">
        <f t="shared" si="66"/>
        <v>114566.88</v>
      </c>
      <c r="X276" s="392">
        <f t="shared" si="66"/>
        <v>0</v>
      </c>
      <c r="Y276" s="392">
        <f t="shared" si="66"/>
        <v>0</v>
      </c>
      <c r="AA276" s="392">
        <f t="shared" si="67"/>
        <v>0</v>
      </c>
      <c r="AB276" s="392">
        <f t="shared" si="67"/>
        <v>0</v>
      </c>
      <c r="AC276" s="392">
        <f t="shared" si="67"/>
        <v>9547.24</v>
      </c>
      <c r="AD276" s="392">
        <f t="shared" si="67"/>
        <v>0</v>
      </c>
      <c r="AE276" s="392">
        <f t="shared" si="67"/>
        <v>0</v>
      </c>
      <c r="AG276" s="409">
        <v>0</v>
      </c>
      <c r="AH276" s="409">
        <v>0</v>
      </c>
      <c r="AI276" s="410">
        <v>1</v>
      </c>
      <c r="AJ276" s="409">
        <v>0</v>
      </c>
      <c r="AK276" s="409">
        <v>0</v>
      </c>
      <c r="AN276" s="391">
        <v>286417.2</v>
      </c>
      <c r="AO276" s="423">
        <f t="shared" si="69"/>
        <v>0</v>
      </c>
    </row>
    <row r="277" spans="1:41">
      <c r="A277" s="391" t="s">
        <v>572</v>
      </c>
      <c r="B277" s="408">
        <v>38107</v>
      </c>
      <c r="C277" s="391" t="s">
        <v>1077</v>
      </c>
      <c r="D277" s="391" t="s">
        <v>1078</v>
      </c>
      <c r="E277" s="391" t="s">
        <v>539</v>
      </c>
      <c r="F277" s="391" t="s">
        <v>540</v>
      </c>
      <c r="G277" s="391">
        <v>30</v>
      </c>
      <c r="H277" s="392">
        <v>311494.28000000003</v>
      </c>
      <c r="I277" s="392">
        <v>124597.69</v>
      </c>
      <c r="J277" s="392">
        <v>10383.14</v>
      </c>
      <c r="K277" s="391" t="s">
        <v>505</v>
      </c>
      <c r="L277" s="391" t="s">
        <v>505</v>
      </c>
      <c r="O277" s="392">
        <f t="shared" ref="O277:S286" si="74">IF(O$8=$K277,$H277,0)</f>
        <v>0</v>
      </c>
      <c r="P277" s="392">
        <f t="shared" si="74"/>
        <v>0</v>
      </c>
      <c r="Q277" s="392">
        <f t="shared" si="74"/>
        <v>311494.28000000003</v>
      </c>
      <c r="R277" s="392">
        <f t="shared" si="74"/>
        <v>0</v>
      </c>
      <c r="S277" s="392">
        <f t="shared" si="74"/>
        <v>0</v>
      </c>
      <c r="U277" s="392">
        <f t="shared" si="66"/>
        <v>0</v>
      </c>
      <c r="V277" s="392">
        <f t="shared" si="66"/>
        <v>0</v>
      </c>
      <c r="W277" s="392">
        <f t="shared" si="66"/>
        <v>124597.69</v>
      </c>
      <c r="X277" s="392">
        <f t="shared" si="66"/>
        <v>0</v>
      </c>
      <c r="Y277" s="392">
        <f t="shared" si="66"/>
        <v>0</v>
      </c>
      <c r="AA277" s="392">
        <f t="shared" si="67"/>
        <v>0</v>
      </c>
      <c r="AB277" s="392">
        <f t="shared" si="67"/>
        <v>0</v>
      </c>
      <c r="AC277" s="392">
        <f t="shared" si="67"/>
        <v>10383.14</v>
      </c>
      <c r="AD277" s="392">
        <f t="shared" si="67"/>
        <v>0</v>
      </c>
      <c r="AE277" s="392">
        <f t="shared" si="67"/>
        <v>0</v>
      </c>
      <c r="AG277" s="409">
        <f t="shared" ref="AG277:AK309" si="75">IF($H277=0,0,O277/$H277)</f>
        <v>0</v>
      </c>
      <c r="AH277" s="409">
        <f t="shared" si="75"/>
        <v>0</v>
      </c>
      <c r="AI277" s="409">
        <f t="shared" si="75"/>
        <v>1</v>
      </c>
      <c r="AJ277" s="409">
        <f t="shared" si="75"/>
        <v>0</v>
      </c>
      <c r="AK277" s="409">
        <f t="shared" si="75"/>
        <v>0</v>
      </c>
      <c r="AN277" s="391">
        <v>311494.28000000003</v>
      </c>
      <c r="AO277" s="423">
        <f t="shared" si="69"/>
        <v>0</v>
      </c>
    </row>
    <row r="278" spans="1:41">
      <c r="A278" s="391" t="s">
        <v>632</v>
      </c>
      <c r="B278" s="408">
        <v>38107</v>
      </c>
      <c r="C278" s="391" t="s">
        <v>1079</v>
      </c>
      <c r="D278" s="391" t="s">
        <v>1080</v>
      </c>
      <c r="E278" s="391" t="s">
        <v>539</v>
      </c>
      <c r="F278" s="391" t="s">
        <v>540</v>
      </c>
      <c r="G278" s="391">
        <v>5</v>
      </c>
      <c r="H278" s="392">
        <v>749.99</v>
      </c>
      <c r="I278" s="392">
        <v>749.99</v>
      </c>
      <c r="J278" s="392">
        <v>0</v>
      </c>
      <c r="K278" s="391" t="s">
        <v>515</v>
      </c>
      <c r="L278" s="391" t="s">
        <v>515</v>
      </c>
      <c r="O278" s="392">
        <f t="shared" si="74"/>
        <v>0</v>
      </c>
      <c r="P278" s="392">
        <f t="shared" si="74"/>
        <v>0</v>
      </c>
      <c r="Q278" s="392">
        <f t="shared" si="74"/>
        <v>0</v>
      </c>
      <c r="R278" s="392">
        <f t="shared" si="74"/>
        <v>749.99</v>
      </c>
      <c r="S278" s="392">
        <f t="shared" si="74"/>
        <v>0</v>
      </c>
      <c r="U278" s="392">
        <f t="shared" si="66"/>
        <v>0</v>
      </c>
      <c r="V278" s="392">
        <f t="shared" si="66"/>
        <v>0</v>
      </c>
      <c r="W278" s="392">
        <f t="shared" si="66"/>
        <v>0</v>
      </c>
      <c r="X278" s="392">
        <f t="shared" si="66"/>
        <v>749.99</v>
      </c>
      <c r="Y278" s="392">
        <f t="shared" si="66"/>
        <v>0</v>
      </c>
      <c r="AA278" s="392">
        <f t="shared" si="67"/>
        <v>0</v>
      </c>
      <c r="AB278" s="392">
        <f t="shared" si="67"/>
        <v>0</v>
      </c>
      <c r="AC278" s="392">
        <f t="shared" si="67"/>
        <v>0</v>
      </c>
      <c r="AD278" s="392">
        <f t="shared" si="67"/>
        <v>0</v>
      </c>
      <c r="AE278" s="392">
        <f t="shared" si="67"/>
        <v>0</v>
      </c>
      <c r="AG278" s="409">
        <f t="shared" si="75"/>
        <v>0</v>
      </c>
      <c r="AH278" s="409">
        <f t="shared" si="75"/>
        <v>0</v>
      </c>
      <c r="AI278" s="409">
        <f t="shared" si="75"/>
        <v>0</v>
      </c>
      <c r="AJ278" s="409">
        <f t="shared" si="75"/>
        <v>1</v>
      </c>
      <c r="AK278" s="409">
        <f t="shared" si="75"/>
        <v>0</v>
      </c>
      <c r="AN278" s="391">
        <v>749.99</v>
      </c>
      <c r="AO278" s="423">
        <f t="shared" si="69"/>
        <v>0</v>
      </c>
    </row>
    <row r="279" spans="1:41">
      <c r="A279" s="391" t="s">
        <v>632</v>
      </c>
      <c r="B279" s="408">
        <v>38107</v>
      </c>
      <c r="C279" s="391" t="s">
        <v>1081</v>
      </c>
      <c r="D279" s="391" t="s">
        <v>1082</v>
      </c>
      <c r="E279" s="391" t="s">
        <v>539</v>
      </c>
      <c r="F279" s="391" t="s">
        <v>540</v>
      </c>
      <c r="G279" s="391">
        <v>5</v>
      </c>
      <c r="H279" s="392">
        <v>0</v>
      </c>
      <c r="I279" s="392">
        <v>0</v>
      </c>
      <c r="J279" s="392">
        <v>0</v>
      </c>
      <c r="K279" s="391" t="s">
        <v>515</v>
      </c>
      <c r="L279" s="391" t="s">
        <v>515</v>
      </c>
      <c r="O279" s="392">
        <f t="shared" si="74"/>
        <v>0</v>
      </c>
      <c r="P279" s="392">
        <f t="shared" si="74"/>
        <v>0</v>
      </c>
      <c r="Q279" s="392">
        <f t="shared" si="74"/>
        <v>0</v>
      </c>
      <c r="R279" s="392">
        <f t="shared" si="74"/>
        <v>0</v>
      </c>
      <c r="S279" s="392">
        <f t="shared" si="74"/>
        <v>0</v>
      </c>
      <c r="U279" s="392">
        <f t="shared" si="66"/>
        <v>0</v>
      </c>
      <c r="V279" s="392">
        <f t="shared" si="66"/>
        <v>0</v>
      </c>
      <c r="W279" s="392">
        <f t="shared" si="66"/>
        <v>0</v>
      </c>
      <c r="X279" s="392">
        <f t="shared" si="66"/>
        <v>0</v>
      </c>
      <c r="Y279" s="392">
        <f t="shared" si="66"/>
        <v>0</v>
      </c>
      <c r="AA279" s="392">
        <f t="shared" si="67"/>
        <v>0</v>
      </c>
      <c r="AB279" s="392">
        <f t="shared" si="67"/>
        <v>0</v>
      </c>
      <c r="AC279" s="392">
        <f t="shared" si="67"/>
        <v>0</v>
      </c>
      <c r="AD279" s="392">
        <f t="shared" si="67"/>
        <v>0</v>
      </c>
      <c r="AE279" s="392">
        <f t="shared" si="67"/>
        <v>0</v>
      </c>
      <c r="AG279" s="409">
        <f t="shared" si="75"/>
        <v>0</v>
      </c>
      <c r="AH279" s="409">
        <f t="shared" si="75"/>
        <v>0</v>
      </c>
      <c r="AI279" s="409">
        <f t="shared" si="75"/>
        <v>0</v>
      </c>
      <c r="AJ279" s="409">
        <f t="shared" si="75"/>
        <v>0</v>
      </c>
      <c r="AK279" s="409">
        <f t="shared" si="75"/>
        <v>0</v>
      </c>
      <c r="AN279" s="391">
        <v>0</v>
      </c>
      <c r="AO279" s="423">
        <f t="shared" si="69"/>
        <v>0</v>
      </c>
    </row>
    <row r="280" spans="1:41">
      <c r="A280" s="391" t="s">
        <v>632</v>
      </c>
      <c r="B280" s="408">
        <v>38107</v>
      </c>
      <c r="C280" s="391" t="s">
        <v>1083</v>
      </c>
      <c r="D280" s="391" t="s">
        <v>1084</v>
      </c>
      <c r="E280" s="391" t="s">
        <v>539</v>
      </c>
      <c r="F280" s="391" t="s">
        <v>540</v>
      </c>
      <c r="G280" s="391">
        <v>5</v>
      </c>
      <c r="H280" s="392">
        <v>0</v>
      </c>
      <c r="I280" s="392">
        <v>0</v>
      </c>
      <c r="J280" s="392">
        <v>0</v>
      </c>
      <c r="K280" s="391" t="s">
        <v>515</v>
      </c>
      <c r="L280" s="391" t="s">
        <v>515</v>
      </c>
      <c r="O280" s="392">
        <f t="shared" si="74"/>
        <v>0</v>
      </c>
      <c r="P280" s="392">
        <f t="shared" si="74"/>
        <v>0</v>
      </c>
      <c r="Q280" s="392">
        <f t="shared" si="74"/>
        <v>0</v>
      </c>
      <c r="R280" s="392">
        <f t="shared" si="74"/>
        <v>0</v>
      </c>
      <c r="S280" s="392">
        <f t="shared" si="74"/>
        <v>0</v>
      </c>
      <c r="U280" s="392">
        <f t="shared" si="66"/>
        <v>0</v>
      </c>
      <c r="V280" s="392">
        <f t="shared" si="66"/>
        <v>0</v>
      </c>
      <c r="W280" s="392">
        <f t="shared" si="66"/>
        <v>0</v>
      </c>
      <c r="X280" s="392">
        <f t="shared" si="66"/>
        <v>0</v>
      </c>
      <c r="Y280" s="392">
        <f t="shared" si="66"/>
        <v>0</v>
      </c>
      <c r="AA280" s="392">
        <f t="shared" si="67"/>
        <v>0</v>
      </c>
      <c r="AB280" s="392">
        <f t="shared" si="67"/>
        <v>0</v>
      </c>
      <c r="AC280" s="392">
        <f t="shared" si="67"/>
        <v>0</v>
      </c>
      <c r="AD280" s="392">
        <f t="shared" si="67"/>
        <v>0</v>
      </c>
      <c r="AE280" s="392">
        <f t="shared" si="67"/>
        <v>0</v>
      </c>
      <c r="AG280" s="409">
        <f t="shared" si="75"/>
        <v>0</v>
      </c>
      <c r="AH280" s="409">
        <f t="shared" si="75"/>
        <v>0</v>
      </c>
      <c r="AI280" s="409">
        <f t="shared" si="75"/>
        <v>0</v>
      </c>
      <c r="AJ280" s="409">
        <f t="shared" si="75"/>
        <v>0</v>
      </c>
      <c r="AK280" s="409">
        <f t="shared" si="75"/>
        <v>0</v>
      </c>
      <c r="AN280" s="391">
        <v>0</v>
      </c>
      <c r="AO280" s="423">
        <f t="shared" si="69"/>
        <v>0</v>
      </c>
    </row>
    <row r="281" spans="1:41">
      <c r="A281" s="391" t="s">
        <v>682</v>
      </c>
      <c r="B281" s="408">
        <v>38107</v>
      </c>
      <c r="C281" s="391" t="s">
        <v>1085</v>
      </c>
      <c r="D281" s="391" t="s">
        <v>1086</v>
      </c>
      <c r="E281" s="391" t="s">
        <v>539</v>
      </c>
      <c r="F281" s="391" t="s">
        <v>540</v>
      </c>
      <c r="G281" s="391">
        <v>5</v>
      </c>
      <c r="H281" s="392">
        <v>1209.32</v>
      </c>
      <c r="I281" s="392">
        <v>1209.32</v>
      </c>
      <c r="J281" s="392">
        <v>0</v>
      </c>
      <c r="K281" s="391" t="s">
        <v>515</v>
      </c>
      <c r="L281" s="391" t="s">
        <v>515</v>
      </c>
      <c r="O281" s="392">
        <f t="shared" si="74"/>
        <v>0</v>
      </c>
      <c r="P281" s="392">
        <f t="shared" si="74"/>
        <v>0</v>
      </c>
      <c r="Q281" s="392">
        <f t="shared" si="74"/>
        <v>0</v>
      </c>
      <c r="R281" s="392">
        <f t="shared" si="74"/>
        <v>1209.32</v>
      </c>
      <c r="S281" s="392">
        <f t="shared" si="74"/>
        <v>0</v>
      </c>
      <c r="U281" s="392">
        <f t="shared" si="66"/>
        <v>0</v>
      </c>
      <c r="V281" s="392">
        <f t="shared" si="66"/>
        <v>0</v>
      </c>
      <c r="W281" s="392">
        <f t="shared" si="66"/>
        <v>0</v>
      </c>
      <c r="X281" s="392">
        <f t="shared" si="66"/>
        <v>1209.32</v>
      </c>
      <c r="Y281" s="392">
        <f t="shared" si="66"/>
        <v>0</v>
      </c>
      <c r="AA281" s="392">
        <f t="shared" si="67"/>
        <v>0</v>
      </c>
      <c r="AB281" s="392">
        <f t="shared" si="67"/>
        <v>0</v>
      </c>
      <c r="AC281" s="392">
        <f t="shared" si="67"/>
        <v>0</v>
      </c>
      <c r="AD281" s="392">
        <f t="shared" si="67"/>
        <v>0</v>
      </c>
      <c r="AE281" s="392">
        <f t="shared" si="67"/>
        <v>0</v>
      </c>
      <c r="AG281" s="409">
        <f t="shared" si="75"/>
        <v>0</v>
      </c>
      <c r="AH281" s="409">
        <f t="shared" si="75"/>
        <v>0</v>
      </c>
      <c r="AI281" s="409">
        <f t="shared" si="75"/>
        <v>0</v>
      </c>
      <c r="AJ281" s="409">
        <f t="shared" si="75"/>
        <v>1</v>
      </c>
      <c r="AK281" s="409">
        <f t="shared" si="75"/>
        <v>0</v>
      </c>
      <c r="AN281" s="391">
        <v>1209.32</v>
      </c>
      <c r="AO281" s="423">
        <f t="shared" si="69"/>
        <v>0</v>
      </c>
    </row>
    <row r="282" spans="1:41">
      <c r="A282" s="391" t="s">
        <v>632</v>
      </c>
      <c r="B282" s="408">
        <v>38107</v>
      </c>
      <c r="C282" s="391" t="s">
        <v>1087</v>
      </c>
      <c r="D282" s="391" t="s">
        <v>1088</v>
      </c>
      <c r="E282" s="391" t="s">
        <v>539</v>
      </c>
      <c r="F282" s="391" t="s">
        <v>540</v>
      </c>
      <c r="G282" s="391">
        <v>5</v>
      </c>
      <c r="H282" s="392">
        <v>3308.32</v>
      </c>
      <c r="I282" s="392">
        <v>3308.32</v>
      </c>
      <c r="J282" s="392">
        <v>0</v>
      </c>
      <c r="K282" s="391" t="s">
        <v>515</v>
      </c>
      <c r="L282" s="391" t="s">
        <v>515</v>
      </c>
      <c r="O282" s="392">
        <f t="shared" si="74"/>
        <v>0</v>
      </c>
      <c r="P282" s="392">
        <f t="shared" si="74"/>
        <v>0</v>
      </c>
      <c r="Q282" s="392">
        <f t="shared" si="74"/>
        <v>0</v>
      </c>
      <c r="R282" s="392">
        <f t="shared" si="74"/>
        <v>3308.32</v>
      </c>
      <c r="S282" s="392">
        <f t="shared" si="74"/>
        <v>0</v>
      </c>
      <c r="U282" s="392">
        <f t="shared" si="66"/>
        <v>0</v>
      </c>
      <c r="V282" s="392">
        <f t="shared" si="66"/>
        <v>0</v>
      </c>
      <c r="W282" s="392">
        <f t="shared" si="66"/>
        <v>0</v>
      </c>
      <c r="X282" s="392">
        <f t="shared" si="66"/>
        <v>3308.32</v>
      </c>
      <c r="Y282" s="392">
        <f t="shared" si="66"/>
        <v>0</v>
      </c>
      <c r="AA282" s="392">
        <f t="shared" si="67"/>
        <v>0</v>
      </c>
      <c r="AB282" s="392">
        <f t="shared" si="67"/>
        <v>0</v>
      </c>
      <c r="AC282" s="392">
        <f t="shared" si="67"/>
        <v>0</v>
      </c>
      <c r="AD282" s="392">
        <f t="shared" si="67"/>
        <v>0</v>
      </c>
      <c r="AE282" s="392">
        <f t="shared" si="67"/>
        <v>0</v>
      </c>
      <c r="AG282" s="409">
        <f t="shared" si="75"/>
        <v>0</v>
      </c>
      <c r="AH282" s="409">
        <f t="shared" si="75"/>
        <v>0</v>
      </c>
      <c r="AI282" s="409">
        <f t="shared" si="75"/>
        <v>0</v>
      </c>
      <c r="AJ282" s="409">
        <f t="shared" si="75"/>
        <v>1</v>
      </c>
      <c r="AK282" s="409">
        <f t="shared" si="75"/>
        <v>0</v>
      </c>
      <c r="AN282" s="391">
        <v>3308.32</v>
      </c>
      <c r="AO282" s="423">
        <f t="shared" si="69"/>
        <v>0</v>
      </c>
    </row>
    <row r="283" spans="1:41">
      <c r="A283" s="391" t="s">
        <v>632</v>
      </c>
      <c r="B283" s="408">
        <v>38219</v>
      </c>
      <c r="C283" s="391" t="s">
        <v>1089</v>
      </c>
      <c r="D283" s="391" t="s">
        <v>1090</v>
      </c>
      <c r="E283" s="391" t="s">
        <v>539</v>
      </c>
      <c r="F283" s="391" t="s">
        <v>540</v>
      </c>
      <c r="G283" s="391">
        <v>5</v>
      </c>
      <c r="H283" s="392">
        <v>778</v>
      </c>
      <c r="I283" s="392">
        <v>778</v>
      </c>
      <c r="J283" s="392">
        <v>0</v>
      </c>
      <c r="K283" s="391" t="s">
        <v>515</v>
      </c>
      <c r="L283" s="391" t="s">
        <v>515</v>
      </c>
      <c r="O283" s="392">
        <f t="shared" si="74"/>
        <v>0</v>
      </c>
      <c r="P283" s="392">
        <f t="shared" si="74"/>
        <v>0</v>
      </c>
      <c r="Q283" s="392">
        <f t="shared" si="74"/>
        <v>0</v>
      </c>
      <c r="R283" s="392">
        <f t="shared" si="74"/>
        <v>778</v>
      </c>
      <c r="S283" s="392">
        <f t="shared" si="74"/>
        <v>0</v>
      </c>
      <c r="U283" s="392">
        <f t="shared" si="66"/>
        <v>0</v>
      </c>
      <c r="V283" s="392">
        <f t="shared" si="66"/>
        <v>0</v>
      </c>
      <c r="W283" s="392">
        <f t="shared" si="66"/>
        <v>0</v>
      </c>
      <c r="X283" s="392">
        <f t="shared" si="66"/>
        <v>778</v>
      </c>
      <c r="Y283" s="392">
        <f t="shared" si="66"/>
        <v>0</v>
      </c>
      <c r="AA283" s="392">
        <f t="shared" si="67"/>
        <v>0</v>
      </c>
      <c r="AB283" s="392">
        <f t="shared" si="67"/>
        <v>0</v>
      </c>
      <c r="AC283" s="392">
        <f t="shared" si="67"/>
        <v>0</v>
      </c>
      <c r="AD283" s="392">
        <f t="shared" si="67"/>
        <v>0</v>
      </c>
      <c r="AE283" s="392">
        <f t="shared" si="67"/>
        <v>0</v>
      </c>
      <c r="AG283" s="409">
        <f t="shared" si="75"/>
        <v>0</v>
      </c>
      <c r="AH283" s="409">
        <f t="shared" si="75"/>
        <v>0</v>
      </c>
      <c r="AI283" s="409">
        <f t="shared" si="75"/>
        <v>0</v>
      </c>
      <c r="AJ283" s="409">
        <f t="shared" si="75"/>
        <v>1</v>
      </c>
      <c r="AK283" s="409">
        <f t="shared" si="75"/>
        <v>0</v>
      </c>
      <c r="AN283" s="391">
        <v>778</v>
      </c>
      <c r="AO283" s="423">
        <f t="shared" si="69"/>
        <v>0</v>
      </c>
    </row>
    <row r="284" spans="1:41">
      <c r="A284" s="391" t="s">
        <v>632</v>
      </c>
      <c r="B284" s="408">
        <v>38233</v>
      </c>
      <c r="C284" s="391" t="s">
        <v>1091</v>
      </c>
      <c r="D284" s="391" t="s">
        <v>1092</v>
      </c>
      <c r="E284" s="391" t="s">
        <v>539</v>
      </c>
      <c r="F284" s="391" t="s">
        <v>540</v>
      </c>
      <c r="G284" s="391">
        <v>5</v>
      </c>
      <c r="H284" s="392">
        <v>1765</v>
      </c>
      <c r="I284" s="392">
        <v>1765</v>
      </c>
      <c r="J284" s="392">
        <v>0</v>
      </c>
      <c r="K284" s="391" t="s">
        <v>515</v>
      </c>
      <c r="L284" s="391" t="s">
        <v>515</v>
      </c>
      <c r="O284" s="392">
        <f t="shared" si="74"/>
        <v>0</v>
      </c>
      <c r="P284" s="392">
        <f t="shared" si="74"/>
        <v>0</v>
      </c>
      <c r="Q284" s="392">
        <f t="shared" si="74"/>
        <v>0</v>
      </c>
      <c r="R284" s="392">
        <f t="shared" si="74"/>
        <v>1765</v>
      </c>
      <c r="S284" s="392">
        <f t="shared" si="74"/>
        <v>0</v>
      </c>
      <c r="U284" s="392">
        <f t="shared" si="66"/>
        <v>0</v>
      </c>
      <c r="V284" s="392">
        <f t="shared" si="66"/>
        <v>0</v>
      </c>
      <c r="W284" s="392">
        <f t="shared" si="66"/>
        <v>0</v>
      </c>
      <c r="X284" s="392">
        <f t="shared" si="66"/>
        <v>1765</v>
      </c>
      <c r="Y284" s="392">
        <f t="shared" si="66"/>
        <v>0</v>
      </c>
      <c r="AA284" s="392">
        <f t="shared" si="67"/>
        <v>0</v>
      </c>
      <c r="AB284" s="392">
        <f t="shared" si="67"/>
        <v>0</v>
      </c>
      <c r="AC284" s="392">
        <f t="shared" si="67"/>
        <v>0</v>
      </c>
      <c r="AD284" s="392">
        <f t="shared" si="67"/>
        <v>0</v>
      </c>
      <c r="AE284" s="392">
        <f t="shared" si="67"/>
        <v>0</v>
      </c>
      <c r="AG284" s="409">
        <f t="shared" si="75"/>
        <v>0</v>
      </c>
      <c r="AH284" s="409">
        <f t="shared" si="75"/>
        <v>0</v>
      </c>
      <c r="AI284" s="409">
        <f t="shared" si="75"/>
        <v>0</v>
      </c>
      <c r="AJ284" s="409">
        <f t="shared" si="75"/>
        <v>1</v>
      </c>
      <c r="AK284" s="409">
        <f t="shared" si="75"/>
        <v>0</v>
      </c>
      <c r="AN284" s="391">
        <v>1765</v>
      </c>
      <c r="AO284" s="423">
        <f t="shared" si="69"/>
        <v>0</v>
      </c>
    </row>
    <row r="285" spans="1:41">
      <c r="A285" s="391" t="s">
        <v>632</v>
      </c>
      <c r="B285" s="408">
        <v>38233</v>
      </c>
      <c r="C285" s="391" t="s">
        <v>1093</v>
      </c>
      <c r="D285" s="391" t="s">
        <v>1094</v>
      </c>
      <c r="E285" s="391" t="s">
        <v>539</v>
      </c>
      <c r="F285" s="391" t="s">
        <v>540</v>
      </c>
      <c r="G285" s="391">
        <v>5</v>
      </c>
      <c r="H285" s="392">
        <v>2957.12</v>
      </c>
      <c r="I285" s="392">
        <v>2957.12</v>
      </c>
      <c r="J285" s="392">
        <v>0</v>
      </c>
      <c r="K285" s="391" t="s">
        <v>515</v>
      </c>
      <c r="L285" s="391" t="s">
        <v>515</v>
      </c>
      <c r="O285" s="392">
        <f t="shared" si="74"/>
        <v>0</v>
      </c>
      <c r="P285" s="392">
        <f t="shared" si="74"/>
        <v>0</v>
      </c>
      <c r="Q285" s="392">
        <f t="shared" si="74"/>
        <v>0</v>
      </c>
      <c r="R285" s="392">
        <f t="shared" si="74"/>
        <v>2957.12</v>
      </c>
      <c r="S285" s="392">
        <f t="shared" si="74"/>
        <v>0</v>
      </c>
      <c r="U285" s="392">
        <f t="shared" si="66"/>
        <v>0</v>
      </c>
      <c r="V285" s="392">
        <f t="shared" si="66"/>
        <v>0</v>
      </c>
      <c r="W285" s="392">
        <f t="shared" si="66"/>
        <v>0</v>
      </c>
      <c r="X285" s="392">
        <f t="shared" si="66"/>
        <v>2957.12</v>
      </c>
      <c r="Y285" s="392">
        <f t="shared" si="66"/>
        <v>0</v>
      </c>
      <c r="AA285" s="392">
        <f t="shared" si="67"/>
        <v>0</v>
      </c>
      <c r="AB285" s="392">
        <f t="shared" si="67"/>
        <v>0</v>
      </c>
      <c r="AC285" s="392">
        <f t="shared" si="67"/>
        <v>0</v>
      </c>
      <c r="AD285" s="392">
        <f t="shared" si="67"/>
        <v>0</v>
      </c>
      <c r="AE285" s="392">
        <f t="shared" si="67"/>
        <v>0</v>
      </c>
      <c r="AG285" s="409">
        <f t="shared" si="75"/>
        <v>0</v>
      </c>
      <c r="AH285" s="409">
        <f t="shared" si="75"/>
        <v>0</v>
      </c>
      <c r="AI285" s="409">
        <f t="shared" si="75"/>
        <v>0</v>
      </c>
      <c r="AJ285" s="409">
        <f t="shared" si="75"/>
        <v>1</v>
      </c>
      <c r="AK285" s="409">
        <f t="shared" si="75"/>
        <v>0</v>
      </c>
      <c r="AN285" s="391">
        <v>2957.12</v>
      </c>
      <c r="AO285" s="423">
        <f t="shared" si="69"/>
        <v>0</v>
      </c>
    </row>
    <row r="286" spans="1:41">
      <c r="A286" s="391" t="s">
        <v>632</v>
      </c>
      <c r="B286" s="408">
        <v>38233</v>
      </c>
      <c r="C286" s="391" t="s">
        <v>1095</v>
      </c>
      <c r="D286" s="391" t="s">
        <v>1096</v>
      </c>
      <c r="E286" s="391" t="s">
        <v>539</v>
      </c>
      <c r="F286" s="391" t="s">
        <v>540</v>
      </c>
      <c r="G286" s="391">
        <v>5</v>
      </c>
      <c r="H286" s="392">
        <v>949.52</v>
      </c>
      <c r="I286" s="392">
        <v>949.52</v>
      </c>
      <c r="J286" s="392">
        <v>0</v>
      </c>
      <c r="K286" s="391" t="s">
        <v>515</v>
      </c>
      <c r="L286" s="391" t="s">
        <v>515</v>
      </c>
      <c r="O286" s="392">
        <f t="shared" si="74"/>
        <v>0</v>
      </c>
      <c r="P286" s="392">
        <f t="shared" si="74"/>
        <v>0</v>
      </c>
      <c r="Q286" s="392">
        <f t="shared" si="74"/>
        <v>0</v>
      </c>
      <c r="R286" s="392">
        <f t="shared" si="74"/>
        <v>949.52</v>
      </c>
      <c r="S286" s="392">
        <f t="shared" si="74"/>
        <v>0</v>
      </c>
      <c r="U286" s="392">
        <f t="shared" si="66"/>
        <v>0</v>
      </c>
      <c r="V286" s="392">
        <f t="shared" si="66"/>
        <v>0</v>
      </c>
      <c r="W286" s="392">
        <f t="shared" si="66"/>
        <v>0</v>
      </c>
      <c r="X286" s="392">
        <f t="shared" si="66"/>
        <v>949.52</v>
      </c>
      <c r="Y286" s="392">
        <f t="shared" si="66"/>
        <v>0</v>
      </c>
      <c r="AA286" s="392">
        <f t="shared" si="67"/>
        <v>0</v>
      </c>
      <c r="AB286" s="392">
        <f t="shared" si="67"/>
        <v>0</v>
      </c>
      <c r="AC286" s="392">
        <f t="shared" si="67"/>
        <v>0</v>
      </c>
      <c r="AD286" s="392">
        <f t="shared" si="67"/>
        <v>0</v>
      </c>
      <c r="AE286" s="392">
        <f t="shared" si="67"/>
        <v>0</v>
      </c>
      <c r="AG286" s="409">
        <f t="shared" si="75"/>
        <v>0</v>
      </c>
      <c r="AH286" s="409">
        <f t="shared" si="75"/>
        <v>0</v>
      </c>
      <c r="AI286" s="409">
        <f t="shared" si="75"/>
        <v>0</v>
      </c>
      <c r="AJ286" s="409">
        <f t="shared" si="75"/>
        <v>1</v>
      </c>
      <c r="AK286" s="409">
        <f t="shared" si="75"/>
        <v>0</v>
      </c>
      <c r="AN286" s="391">
        <v>949.52</v>
      </c>
      <c r="AO286" s="423">
        <f t="shared" si="69"/>
        <v>0</v>
      </c>
    </row>
    <row r="287" spans="1:41">
      <c r="A287" s="391" t="s">
        <v>632</v>
      </c>
      <c r="B287" s="408">
        <v>38233</v>
      </c>
      <c r="C287" s="391" t="s">
        <v>1097</v>
      </c>
      <c r="D287" s="391" t="s">
        <v>1098</v>
      </c>
      <c r="E287" s="391" t="s">
        <v>539</v>
      </c>
      <c r="F287" s="391" t="s">
        <v>540</v>
      </c>
      <c r="G287" s="391">
        <v>5</v>
      </c>
      <c r="H287" s="392">
        <v>0</v>
      </c>
      <c r="I287" s="392">
        <v>0</v>
      </c>
      <c r="J287" s="392">
        <v>0</v>
      </c>
      <c r="K287" s="391" t="s">
        <v>515</v>
      </c>
      <c r="L287" s="391" t="s">
        <v>515</v>
      </c>
      <c r="O287" s="392">
        <f t="shared" ref="O287:S296" si="76">IF(O$8=$K287,$H287,0)</f>
        <v>0</v>
      </c>
      <c r="P287" s="392">
        <f t="shared" si="76"/>
        <v>0</v>
      </c>
      <c r="Q287" s="392">
        <f t="shared" si="76"/>
        <v>0</v>
      </c>
      <c r="R287" s="392">
        <f t="shared" si="76"/>
        <v>0</v>
      </c>
      <c r="S287" s="392">
        <f t="shared" si="76"/>
        <v>0</v>
      </c>
      <c r="U287" s="392">
        <f t="shared" ref="U287:Y334" si="77">$I287*AG287</f>
        <v>0</v>
      </c>
      <c r="V287" s="392">
        <f t="shared" si="77"/>
        <v>0</v>
      </c>
      <c r="W287" s="392">
        <f t="shared" si="77"/>
        <v>0</v>
      </c>
      <c r="X287" s="392">
        <f t="shared" si="77"/>
        <v>0</v>
      </c>
      <c r="Y287" s="392">
        <f t="shared" si="77"/>
        <v>0</v>
      </c>
      <c r="AA287" s="392">
        <f t="shared" ref="AA287:AE334" si="78">$J287*AG287</f>
        <v>0</v>
      </c>
      <c r="AB287" s="392">
        <f t="shared" si="78"/>
        <v>0</v>
      </c>
      <c r="AC287" s="392">
        <f t="shared" si="78"/>
        <v>0</v>
      </c>
      <c r="AD287" s="392">
        <f t="shared" si="78"/>
        <v>0</v>
      </c>
      <c r="AE287" s="392">
        <f t="shared" si="78"/>
        <v>0</v>
      </c>
      <c r="AG287" s="409">
        <f t="shared" si="75"/>
        <v>0</v>
      </c>
      <c r="AH287" s="409">
        <f t="shared" si="75"/>
        <v>0</v>
      </c>
      <c r="AI287" s="409">
        <f t="shared" si="75"/>
        <v>0</v>
      </c>
      <c r="AJ287" s="409">
        <f t="shared" si="75"/>
        <v>0</v>
      </c>
      <c r="AK287" s="409">
        <f t="shared" si="75"/>
        <v>0</v>
      </c>
      <c r="AN287" s="391">
        <v>0</v>
      </c>
      <c r="AO287" s="423">
        <f t="shared" si="69"/>
        <v>0</v>
      </c>
    </row>
    <row r="288" spans="1:41">
      <c r="A288" s="391" t="s">
        <v>632</v>
      </c>
      <c r="B288" s="408">
        <v>38233</v>
      </c>
      <c r="C288" s="391" t="s">
        <v>1095</v>
      </c>
      <c r="D288" s="391" t="s">
        <v>1099</v>
      </c>
      <c r="E288" s="391" t="s">
        <v>539</v>
      </c>
      <c r="F288" s="391" t="s">
        <v>540</v>
      </c>
      <c r="G288" s="391">
        <v>5</v>
      </c>
      <c r="H288" s="392">
        <v>949.52</v>
      </c>
      <c r="I288" s="392">
        <v>949.52</v>
      </c>
      <c r="J288" s="392">
        <v>0</v>
      </c>
      <c r="K288" s="391" t="s">
        <v>515</v>
      </c>
      <c r="L288" s="391" t="s">
        <v>515</v>
      </c>
      <c r="O288" s="392">
        <f t="shared" si="76"/>
        <v>0</v>
      </c>
      <c r="P288" s="392">
        <f t="shared" si="76"/>
        <v>0</v>
      </c>
      <c r="Q288" s="392">
        <f t="shared" si="76"/>
        <v>0</v>
      </c>
      <c r="R288" s="392">
        <f t="shared" si="76"/>
        <v>949.52</v>
      </c>
      <c r="S288" s="392">
        <f t="shared" si="76"/>
        <v>0</v>
      </c>
      <c r="U288" s="392">
        <f t="shared" si="77"/>
        <v>0</v>
      </c>
      <c r="V288" s="392">
        <f t="shared" si="77"/>
        <v>0</v>
      </c>
      <c r="W288" s="392">
        <f t="shared" si="77"/>
        <v>0</v>
      </c>
      <c r="X288" s="392">
        <f t="shared" si="77"/>
        <v>949.52</v>
      </c>
      <c r="Y288" s="392">
        <f t="shared" si="77"/>
        <v>0</v>
      </c>
      <c r="AA288" s="392">
        <f t="shared" si="78"/>
        <v>0</v>
      </c>
      <c r="AB288" s="392">
        <f t="shared" si="78"/>
        <v>0</v>
      </c>
      <c r="AC288" s="392">
        <f t="shared" si="78"/>
        <v>0</v>
      </c>
      <c r="AD288" s="392">
        <f t="shared" si="78"/>
        <v>0</v>
      </c>
      <c r="AE288" s="392">
        <f t="shared" si="78"/>
        <v>0</v>
      </c>
      <c r="AG288" s="409">
        <f t="shared" si="75"/>
        <v>0</v>
      </c>
      <c r="AH288" s="409">
        <f t="shared" si="75"/>
        <v>0</v>
      </c>
      <c r="AI288" s="409">
        <f t="shared" si="75"/>
        <v>0</v>
      </c>
      <c r="AJ288" s="409">
        <f t="shared" si="75"/>
        <v>1</v>
      </c>
      <c r="AK288" s="409">
        <f t="shared" si="75"/>
        <v>0</v>
      </c>
      <c r="AN288" s="391">
        <v>949.52</v>
      </c>
      <c r="AO288" s="423">
        <f t="shared" si="69"/>
        <v>0</v>
      </c>
    </row>
    <row r="289" spans="1:41">
      <c r="A289" s="391" t="s">
        <v>632</v>
      </c>
      <c r="B289" s="408">
        <v>38233</v>
      </c>
      <c r="C289" s="391" t="s">
        <v>1100</v>
      </c>
      <c r="D289" s="391" t="s">
        <v>1101</v>
      </c>
      <c r="E289" s="391" t="s">
        <v>539</v>
      </c>
      <c r="F289" s="391" t="s">
        <v>540</v>
      </c>
      <c r="G289" s="391">
        <v>5</v>
      </c>
      <c r="H289" s="392">
        <v>1337</v>
      </c>
      <c r="I289" s="392">
        <v>1337</v>
      </c>
      <c r="J289" s="392">
        <v>0</v>
      </c>
      <c r="K289" s="391" t="s">
        <v>515</v>
      </c>
      <c r="L289" s="391" t="s">
        <v>515</v>
      </c>
      <c r="O289" s="392">
        <f t="shared" si="76"/>
        <v>0</v>
      </c>
      <c r="P289" s="392">
        <f t="shared" si="76"/>
        <v>0</v>
      </c>
      <c r="Q289" s="392">
        <f t="shared" si="76"/>
        <v>0</v>
      </c>
      <c r="R289" s="392">
        <f t="shared" si="76"/>
        <v>1337</v>
      </c>
      <c r="S289" s="392">
        <f t="shared" si="76"/>
        <v>0</v>
      </c>
      <c r="U289" s="392">
        <f t="shared" si="77"/>
        <v>0</v>
      </c>
      <c r="V289" s="392">
        <f t="shared" si="77"/>
        <v>0</v>
      </c>
      <c r="W289" s="392">
        <f t="shared" si="77"/>
        <v>0</v>
      </c>
      <c r="X289" s="392">
        <f t="shared" si="77"/>
        <v>1337</v>
      </c>
      <c r="Y289" s="392">
        <f t="shared" si="77"/>
        <v>0</v>
      </c>
      <c r="AA289" s="392">
        <f t="shared" si="78"/>
        <v>0</v>
      </c>
      <c r="AB289" s="392">
        <f t="shared" si="78"/>
        <v>0</v>
      </c>
      <c r="AC289" s="392">
        <f t="shared" si="78"/>
        <v>0</v>
      </c>
      <c r="AD289" s="392">
        <f t="shared" si="78"/>
        <v>0</v>
      </c>
      <c r="AE289" s="392">
        <f t="shared" si="78"/>
        <v>0</v>
      </c>
      <c r="AG289" s="409">
        <f t="shared" si="75"/>
        <v>0</v>
      </c>
      <c r="AH289" s="409">
        <f t="shared" si="75"/>
        <v>0</v>
      </c>
      <c r="AI289" s="409">
        <f t="shared" si="75"/>
        <v>0</v>
      </c>
      <c r="AJ289" s="409">
        <f t="shared" si="75"/>
        <v>1</v>
      </c>
      <c r="AK289" s="409">
        <f t="shared" si="75"/>
        <v>0</v>
      </c>
      <c r="AN289" s="391">
        <v>1337</v>
      </c>
      <c r="AO289" s="423">
        <f t="shared" si="69"/>
        <v>0</v>
      </c>
    </row>
    <row r="290" spans="1:41">
      <c r="A290" s="391" t="s">
        <v>646</v>
      </c>
      <c r="B290" s="408">
        <v>38247</v>
      </c>
      <c r="C290" s="391" t="s">
        <v>1102</v>
      </c>
      <c r="D290" s="391" t="s">
        <v>1103</v>
      </c>
      <c r="E290" s="391" t="s">
        <v>539</v>
      </c>
      <c r="F290" s="391" t="s">
        <v>540</v>
      </c>
      <c r="G290" s="391">
        <v>5</v>
      </c>
      <c r="H290" s="392">
        <v>44639.47</v>
      </c>
      <c r="I290" s="392">
        <v>44639.47</v>
      </c>
      <c r="J290" s="392">
        <v>0</v>
      </c>
      <c r="K290" s="391" t="s">
        <v>515</v>
      </c>
      <c r="L290" s="391" t="s">
        <v>515</v>
      </c>
      <c r="O290" s="392">
        <f t="shared" si="76"/>
        <v>0</v>
      </c>
      <c r="P290" s="392">
        <f t="shared" si="76"/>
        <v>0</v>
      </c>
      <c r="Q290" s="392">
        <f t="shared" si="76"/>
        <v>0</v>
      </c>
      <c r="R290" s="392">
        <f t="shared" si="76"/>
        <v>44639.47</v>
      </c>
      <c r="S290" s="392">
        <f t="shared" si="76"/>
        <v>0</v>
      </c>
      <c r="U290" s="392">
        <f t="shared" si="77"/>
        <v>0</v>
      </c>
      <c r="V290" s="392">
        <f t="shared" si="77"/>
        <v>0</v>
      </c>
      <c r="W290" s="392">
        <f t="shared" si="77"/>
        <v>0</v>
      </c>
      <c r="X290" s="392">
        <f t="shared" si="77"/>
        <v>44639.47</v>
      </c>
      <c r="Y290" s="392">
        <f t="shared" si="77"/>
        <v>0</v>
      </c>
      <c r="AA290" s="392">
        <f t="shared" si="78"/>
        <v>0</v>
      </c>
      <c r="AB290" s="392">
        <f t="shared" si="78"/>
        <v>0</v>
      </c>
      <c r="AC290" s="392">
        <f t="shared" si="78"/>
        <v>0</v>
      </c>
      <c r="AD290" s="392">
        <f t="shared" si="78"/>
        <v>0</v>
      </c>
      <c r="AE290" s="392">
        <f t="shared" si="78"/>
        <v>0</v>
      </c>
      <c r="AG290" s="409">
        <f t="shared" si="75"/>
        <v>0</v>
      </c>
      <c r="AH290" s="409">
        <f t="shared" si="75"/>
        <v>0</v>
      </c>
      <c r="AI290" s="409">
        <f t="shared" si="75"/>
        <v>0</v>
      </c>
      <c r="AJ290" s="409">
        <f t="shared" si="75"/>
        <v>1</v>
      </c>
      <c r="AK290" s="409">
        <f t="shared" si="75"/>
        <v>0</v>
      </c>
      <c r="AN290" s="391">
        <v>44639.47</v>
      </c>
      <c r="AO290" s="423">
        <f t="shared" si="69"/>
        <v>0</v>
      </c>
    </row>
    <row r="291" spans="1:41">
      <c r="A291" s="391" t="s">
        <v>682</v>
      </c>
      <c r="B291" s="408">
        <v>38261</v>
      </c>
      <c r="C291" s="391" t="s">
        <v>1104</v>
      </c>
      <c r="D291" s="391" t="s">
        <v>1105</v>
      </c>
      <c r="E291" s="391" t="s">
        <v>539</v>
      </c>
      <c r="F291" s="391" t="s">
        <v>540</v>
      </c>
      <c r="G291" s="391">
        <v>5</v>
      </c>
      <c r="H291" s="392">
        <v>0</v>
      </c>
      <c r="I291" s="392">
        <v>0</v>
      </c>
      <c r="J291" s="392">
        <v>0</v>
      </c>
      <c r="K291" s="391" t="s">
        <v>515</v>
      </c>
      <c r="L291" s="391" t="s">
        <v>515</v>
      </c>
      <c r="O291" s="392">
        <f t="shared" si="76"/>
        <v>0</v>
      </c>
      <c r="P291" s="392">
        <f t="shared" si="76"/>
        <v>0</v>
      </c>
      <c r="Q291" s="392">
        <f t="shared" si="76"/>
        <v>0</v>
      </c>
      <c r="R291" s="392">
        <f t="shared" si="76"/>
        <v>0</v>
      </c>
      <c r="S291" s="392">
        <f t="shared" si="76"/>
        <v>0</v>
      </c>
      <c r="U291" s="392">
        <f t="shared" si="77"/>
        <v>0</v>
      </c>
      <c r="V291" s="392">
        <f t="shared" si="77"/>
        <v>0</v>
      </c>
      <c r="W291" s="392">
        <f t="shared" si="77"/>
        <v>0</v>
      </c>
      <c r="X291" s="392">
        <f t="shared" si="77"/>
        <v>0</v>
      </c>
      <c r="Y291" s="392">
        <f t="shared" si="77"/>
        <v>0</v>
      </c>
      <c r="AA291" s="392">
        <f t="shared" si="78"/>
        <v>0</v>
      </c>
      <c r="AB291" s="392">
        <f t="shared" si="78"/>
        <v>0</v>
      </c>
      <c r="AC291" s="392">
        <f t="shared" si="78"/>
        <v>0</v>
      </c>
      <c r="AD291" s="392">
        <f t="shared" si="78"/>
        <v>0</v>
      </c>
      <c r="AE291" s="392">
        <f t="shared" si="78"/>
        <v>0</v>
      </c>
      <c r="AG291" s="409">
        <f t="shared" si="75"/>
        <v>0</v>
      </c>
      <c r="AH291" s="409">
        <f t="shared" si="75"/>
        <v>0</v>
      </c>
      <c r="AI291" s="409">
        <f t="shared" si="75"/>
        <v>0</v>
      </c>
      <c r="AJ291" s="409">
        <f t="shared" si="75"/>
        <v>0</v>
      </c>
      <c r="AK291" s="409">
        <f t="shared" si="75"/>
        <v>0</v>
      </c>
      <c r="AN291" s="391">
        <v>0</v>
      </c>
      <c r="AO291" s="423">
        <f t="shared" si="69"/>
        <v>0</v>
      </c>
    </row>
    <row r="292" spans="1:41">
      <c r="A292" s="391" t="s">
        <v>682</v>
      </c>
      <c r="B292" s="408">
        <v>38261</v>
      </c>
      <c r="C292" s="391" t="s">
        <v>1104</v>
      </c>
      <c r="D292" s="391" t="s">
        <v>1106</v>
      </c>
      <c r="E292" s="391" t="s">
        <v>539</v>
      </c>
      <c r="F292" s="391" t="s">
        <v>540</v>
      </c>
      <c r="G292" s="391">
        <v>5</v>
      </c>
      <c r="H292" s="392">
        <v>0</v>
      </c>
      <c r="I292" s="392">
        <v>0</v>
      </c>
      <c r="J292" s="392">
        <v>0</v>
      </c>
      <c r="K292" s="391" t="s">
        <v>515</v>
      </c>
      <c r="L292" s="391" t="s">
        <v>515</v>
      </c>
      <c r="O292" s="392">
        <f t="shared" si="76"/>
        <v>0</v>
      </c>
      <c r="P292" s="392">
        <f t="shared" si="76"/>
        <v>0</v>
      </c>
      <c r="Q292" s="392">
        <f t="shared" si="76"/>
        <v>0</v>
      </c>
      <c r="R292" s="392">
        <f t="shared" si="76"/>
        <v>0</v>
      </c>
      <c r="S292" s="392">
        <f t="shared" si="76"/>
        <v>0</v>
      </c>
      <c r="U292" s="392">
        <f t="shared" si="77"/>
        <v>0</v>
      </c>
      <c r="V292" s="392">
        <f t="shared" si="77"/>
        <v>0</v>
      </c>
      <c r="W292" s="392">
        <f t="shared" si="77"/>
        <v>0</v>
      </c>
      <c r="X292" s="392">
        <f t="shared" si="77"/>
        <v>0</v>
      </c>
      <c r="Y292" s="392">
        <f t="shared" si="77"/>
        <v>0</v>
      </c>
      <c r="AA292" s="392">
        <f t="shared" si="78"/>
        <v>0</v>
      </c>
      <c r="AB292" s="392">
        <f t="shared" si="78"/>
        <v>0</v>
      </c>
      <c r="AC292" s="392">
        <f t="shared" si="78"/>
        <v>0</v>
      </c>
      <c r="AD292" s="392">
        <f t="shared" si="78"/>
        <v>0</v>
      </c>
      <c r="AE292" s="392">
        <f t="shared" si="78"/>
        <v>0</v>
      </c>
      <c r="AG292" s="409">
        <f t="shared" si="75"/>
        <v>0</v>
      </c>
      <c r="AH292" s="409">
        <f t="shared" si="75"/>
        <v>0</v>
      </c>
      <c r="AI292" s="409">
        <f t="shared" si="75"/>
        <v>0</v>
      </c>
      <c r="AJ292" s="409">
        <f t="shared" si="75"/>
        <v>0</v>
      </c>
      <c r="AK292" s="409">
        <f t="shared" si="75"/>
        <v>0</v>
      </c>
      <c r="AN292" s="391">
        <v>0</v>
      </c>
      <c r="AO292" s="423">
        <f t="shared" si="69"/>
        <v>0</v>
      </c>
    </row>
    <row r="293" spans="1:41">
      <c r="A293" s="391" t="s">
        <v>682</v>
      </c>
      <c r="B293" s="408">
        <v>38261</v>
      </c>
      <c r="C293" s="391" t="s">
        <v>1104</v>
      </c>
      <c r="D293" s="391" t="s">
        <v>1107</v>
      </c>
      <c r="E293" s="391" t="s">
        <v>539</v>
      </c>
      <c r="F293" s="391" t="s">
        <v>540</v>
      </c>
      <c r="G293" s="391">
        <v>5</v>
      </c>
      <c r="H293" s="392">
        <v>0</v>
      </c>
      <c r="I293" s="392">
        <v>0</v>
      </c>
      <c r="J293" s="392">
        <v>0</v>
      </c>
      <c r="K293" s="391" t="s">
        <v>515</v>
      </c>
      <c r="L293" s="391" t="s">
        <v>515</v>
      </c>
      <c r="O293" s="392">
        <f t="shared" si="76"/>
        <v>0</v>
      </c>
      <c r="P293" s="392">
        <f t="shared" si="76"/>
        <v>0</v>
      </c>
      <c r="Q293" s="392">
        <f t="shared" si="76"/>
        <v>0</v>
      </c>
      <c r="R293" s="392">
        <f t="shared" si="76"/>
        <v>0</v>
      </c>
      <c r="S293" s="392">
        <f t="shared" si="76"/>
        <v>0</v>
      </c>
      <c r="U293" s="392">
        <f t="shared" si="77"/>
        <v>0</v>
      </c>
      <c r="V293" s="392">
        <f t="shared" si="77"/>
        <v>0</v>
      </c>
      <c r="W293" s="392">
        <f t="shared" si="77"/>
        <v>0</v>
      </c>
      <c r="X293" s="392">
        <f t="shared" si="77"/>
        <v>0</v>
      </c>
      <c r="Y293" s="392">
        <f t="shared" si="77"/>
        <v>0</v>
      </c>
      <c r="AA293" s="392">
        <f t="shared" si="78"/>
        <v>0</v>
      </c>
      <c r="AB293" s="392">
        <f t="shared" si="78"/>
        <v>0</v>
      </c>
      <c r="AC293" s="392">
        <f t="shared" si="78"/>
        <v>0</v>
      </c>
      <c r="AD293" s="392">
        <f t="shared" si="78"/>
        <v>0</v>
      </c>
      <c r="AE293" s="392">
        <f t="shared" si="78"/>
        <v>0</v>
      </c>
      <c r="AG293" s="409">
        <f t="shared" si="75"/>
        <v>0</v>
      </c>
      <c r="AH293" s="409">
        <f t="shared" si="75"/>
        <v>0</v>
      </c>
      <c r="AI293" s="409">
        <f t="shared" si="75"/>
        <v>0</v>
      </c>
      <c r="AJ293" s="409">
        <f t="shared" si="75"/>
        <v>0</v>
      </c>
      <c r="AK293" s="409">
        <f t="shared" si="75"/>
        <v>0</v>
      </c>
      <c r="AN293" s="391">
        <v>0</v>
      </c>
      <c r="AO293" s="423">
        <f t="shared" si="69"/>
        <v>0</v>
      </c>
    </row>
    <row r="294" spans="1:41">
      <c r="A294" s="391" t="s">
        <v>682</v>
      </c>
      <c r="B294" s="408">
        <v>38261</v>
      </c>
      <c r="C294" s="391" t="s">
        <v>1104</v>
      </c>
      <c r="D294" s="391" t="s">
        <v>1108</v>
      </c>
      <c r="E294" s="391" t="s">
        <v>539</v>
      </c>
      <c r="F294" s="391" t="s">
        <v>540</v>
      </c>
      <c r="G294" s="391">
        <v>5</v>
      </c>
      <c r="H294" s="392">
        <v>0</v>
      </c>
      <c r="I294" s="392">
        <v>0</v>
      </c>
      <c r="J294" s="392">
        <v>0</v>
      </c>
      <c r="K294" s="391" t="s">
        <v>515</v>
      </c>
      <c r="L294" s="391" t="s">
        <v>515</v>
      </c>
      <c r="O294" s="392">
        <f t="shared" si="76"/>
        <v>0</v>
      </c>
      <c r="P294" s="392">
        <f t="shared" si="76"/>
        <v>0</v>
      </c>
      <c r="Q294" s="392">
        <f t="shared" si="76"/>
        <v>0</v>
      </c>
      <c r="R294" s="392">
        <f t="shared" si="76"/>
        <v>0</v>
      </c>
      <c r="S294" s="392">
        <f t="shared" si="76"/>
        <v>0</v>
      </c>
      <c r="U294" s="392">
        <f t="shared" si="77"/>
        <v>0</v>
      </c>
      <c r="V294" s="392">
        <f t="shared" si="77"/>
        <v>0</v>
      </c>
      <c r="W294" s="392">
        <f t="shared" si="77"/>
        <v>0</v>
      </c>
      <c r="X294" s="392">
        <f t="shared" si="77"/>
        <v>0</v>
      </c>
      <c r="Y294" s="392">
        <f t="shared" si="77"/>
        <v>0</v>
      </c>
      <c r="AA294" s="392">
        <f t="shared" si="78"/>
        <v>0</v>
      </c>
      <c r="AB294" s="392">
        <f t="shared" si="78"/>
        <v>0</v>
      </c>
      <c r="AC294" s="392">
        <f t="shared" si="78"/>
        <v>0</v>
      </c>
      <c r="AD294" s="392">
        <f t="shared" si="78"/>
        <v>0</v>
      </c>
      <c r="AE294" s="392">
        <f t="shared" si="78"/>
        <v>0</v>
      </c>
      <c r="AG294" s="409">
        <f t="shared" si="75"/>
        <v>0</v>
      </c>
      <c r="AH294" s="409">
        <f t="shared" si="75"/>
        <v>0</v>
      </c>
      <c r="AI294" s="409">
        <f t="shared" si="75"/>
        <v>0</v>
      </c>
      <c r="AJ294" s="409">
        <f t="shared" si="75"/>
        <v>0</v>
      </c>
      <c r="AK294" s="409">
        <f t="shared" si="75"/>
        <v>0</v>
      </c>
      <c r="AN294" s="391">
        <v>0</v>
      </c>
      <c r="AO294" s="423">
        <f t="shared" si="69"/>
        <v>0</v>
      </c>
    </row>
    <row r="295" spans="1:41">
      <c r="A295" s="391" t="s">
        <v>682</v>
      </c>
      <c r="B295" s="408">
        <v>38261</v>
      </c>
      <c r="C295" s="391" t="s">
        <v>1109</v>
      </c>
      <c r="D295" s="391" t="s">
        <v>1110</v>
      </c>
      <c r="E295" s="391" t="s">
        <v>539</v>
      </c>
      <c r="F295" s="391" t="s">
        <v>540</v>
      </c>
      <c r="G295" s="391">
        <v>5</v>
      </c>
      <c r="H295" s="392">
        <v>1385</v>
      </c>
      <c r="I295" s="392">
        <v>1385</v>
      </c>
      <c r="J295" s="392">
        <v>0</v>
      </c>
      <c r="K295" s="391" t="s">
        <v>515</v>
      </c>
      <c r="L295" s="391" t="s">
        <v>515</v>
      </c>
      <c r="O295" s="392">
        <f t="shared" si="76"/>
        <v>0</v>
      </c>
      <c r="P295" s="392">
        <f t="shared" si="76"/>
        <v>0</v>
      </c>
      <c r="Q295" s="392">
        <f t="shared" si="76"/>
        <v>0</v>
      </c>
      <c r="R295" s="392">
        <f t="shared" si="76"/>
        <v>1385</v>
      </c>
      <c r="S295" s="392">
        <f t="shared" si="76"/>
        <v>0</v>
      </c>
      <c r="U295" s="392">
        <f t="shared" si="77"/>
        <v>0</v>
      </c>
      <c r="V295" s="392">
        <f t="shared" si="77"/>
        <v>0</v>
      </c>
      <c r="W295" s="392">
        <f t="shared" si="77"/>
        <v>0</v>
      </c>
      <c r="X295" s="392">
        <f t="shared" si="77"/>
        <v>1385</v>
      </c>
      <c r="Y295" s="392">
        <f t="shared" si="77"/>
        <v>0</v>
      </c>
      <c r="AA295" s="392">
        <f t="shared" si="78"/>
        <v>0</v>
      </c>
      <c r="AB295" s="392">
        <f t="shared" si="78"/>
        <v>0</v>
      </c>
      <c r="AC295" s="392">
        <f t="shared" si="78"/>
        <v>0</v>
      </c>
      <c r="AD295" s="392">
        <f t="shared" si="78"/>
        <v>0</v>
      </c>
      <c r="AE295" s="392">
        <f t="shared" si="78"/>
        <v>0</v>
      </c>
      <c r="AG295" s="409">
        <f t="shared" si="75"/>
        <v>0</v>
      </c>
      <c r="AH295" s="409">
        <f t="shared" si="75"/>
        <v>0</v>
      </c>
      <c r="AI295" s="409">
        <f t="shared" si="75"/>
        <v>0</v>
      </c>
      <c r="AJ295" s="409">
        <f t="shared" si="75"/>
        <v>1</v>
      </c>
      <c r="AK295" s="409">
        <f t="shared" si="75"/>
        <v>0</v>
      </c>
      <c r="AN295" s="391">
        <v>1385</v>
      </c>
      <c r="AO295" s="423">
        <f t="shared" si="69"/>
        <v>0</v>
      </c>
    </row>
    <row r="296" spans="1:41">
      <c r="A296" s="391" t="s">
        <v>632</v>
      </c>
      <c r="B296" s="408">
        <v>38289</v>
      </c>
      <c r="C296" s="391" t="s">
        <v>1111</v>
      </c>
      <c r="D296" s="391" t="s">
        <v>1112</v>
      </c>
      <c r="E296" s="391" t="s">
        <v>539</v>
      </c>
      <c r="F296" s="391" t="s">
        <v>540</v>
      </c>
      <c r="G296" s="391">
        <v>5</v>
      </c>
      <c r="H296" s="392">
        <v>1968.6</v>
      </c>
      <c r="I296" s="392">
        <v>1968.6</v>
      </c>
      <c r="J296" s="392">
        <v>0</v>
      </c>
      <c r="K296" s="391" t="s">
        <v>515</v>
      </c>
      <c r="L296" s="391" t="s">
        <v>515</v>
      </c>
      <c r="O296" s="392">
        <f t="shared" si="76"/>
        <v>0</v>
      </c>
      <c r="P296" s="392">
        <f t="shared" si="76"/>
        <v>0</v>
      </c>
      <c r="Q296" s="392">
        <f t="shared" si="76"/>
        <v>0</v>
      </c>
      <c r="R296" s="392">
        <f t="shared" si="76"/>
        <v>1968.6</v>
      </c>
      <c r="S296" s="392">
        <f t="shared" si="76"/>
        <v>0</v>
      </c>
      <c r="U296" s="392">
        <f t="shared" si="77"/>
        <v>0</v>
      </c>
      <c r="V296" s="392">
        <f t="shared" si="77"/>
        <v>0</v>
      </c>
      <c r="W296" s="392">
        <f t="shared" si="77"/>
        <v>0</v>
      </c>
      <c r="X296" s="392">
        <f t="shared" si="77"/>
        <v>1968.6</v>
      </c>
      <c r="Y296" s="392">
        <f t="shared" si="77"/>
        <v>0</v>
      </c>
      <c r="AA296" s="392">
        <f t="shared" si="78"/>
        <v>0</v>
      </c>
      <c r="AB296" s="392">
        <f t="shared" si="78"/>
        <v>0</v>
      </c>
      <c r="AC296" s="392">
        <f t="shared" si="78"/>
        <v>0</v>
      </c>
      <c r="AD296" s="392">
        <f t="shared" si="78"/>
        <v>0</v>
      </c>
      <c r="AE296" s="392">
        <f t="shared" si="78"/>
        <v>0</v>
      </c>
      <c r="AG296" s="409">
        <f t="shared" si="75"/>
        <v>0</v>
      </c>
      <c r="AH296" s="409">
        <f t="shared" si="75"/>
        <v>0</v>
      </c>
      <c r="AI296" s="409">
        <f t="shared" si="75"/>
        <v>0</v>
      </c>
      <c r="AJ296" s="409">
        <f t="shared" si="75"/>
        <v>1</v>
      </c>
      <c r="AK296" s="409">
        <f t="shared" si="75"/>
        <v>0</v>
      </c>
      <c r="AN296" s="391">
        <v>1968.6</v>
      </c>
      <c r="AO296" s="423">
        <f t="shared" si="69"/>
        <v>0</v>
      </c>
    </row>
    <row r="297" spans="1:41">
      <c r="A297" s="391" t="s">
        <v>982</v>
      </c>
      <c r="B297" s="408">
        <v>38331</v>
      </c>
      <c r="C297" s="391" t="s">
        <v>1113</v>
      </c>
      <c r="D297" s="391" t="s">
        <v>1114</v>
      </c>
      <c r="E297" s="391" t="s">
        <v>539</v>
      </c>
      <c r="F297" s="391" t="s">
        <v>540</v>
      </c>
      <c r="G297" s="391">
        <v>5</v>
      </c>
      <c r="H297" s="392">
        <v>7600</v>
      </c>
      <c r="I297" s="392">
        <v>7600</v>
      </c>
      <c r="J297" s="392">
        <v>0</v>
      </c>
      <c r="K297" s="391" t="s">
        <v>515</v>
      </c>
      <c r="L297" s="391" t="s">
        <v>515</v>
      </c>
      <c r="O297" s="392">
        <f t="shared" ref="O297:S309" si="79">IF(O$8=$K297,$H297,0)</f>
        <v>0</v>
      </c>
      <c r="P297" s="392">
        <f t="shared" si="79"/>
        <v>0</v>
      </c>
      <c r="Q297" s="392">
        <f t="shared" si="79"/>
        <v>0</v>
      </c>
      <c r="R297" s="392">
        <f t="shared" si="79"/>
        <v>7600</v>
      </c>
      <c r="S297" s="392">
        <f t="shared" si="79"/>
        <v>0</v>
      </c>
      <c r="U297" s="392">
        <f t="shared" si="77"/>
        <v>0</v>
      </c>
      <c r="V297" s="392">
        <f t="shared" si="77"/>
        <v>0</v>
      </c>
      <c r="W297" s="392">
        <f t="shared" si="77"/>
        <v>0</v>
      </c>
      <c r="X297" s="392">
        <f t="shared" si="77"/>
        <v>7600</v>
      </c>
      <c r="Y297" s="392">
        <f t="shared" si="77"/>
        <v>0</v>
      </c>
      <c r="AA297" s="392">
        <f t="shared" si="78"/>
        <v>0</v>
      </c>
      <c r="AB297" s="392">
        <f t="shared" si="78"/>
        <v>0</v>
      </c>
      <c r="AC297" s="392">
        <f t="shared" si="78"/>
        <v>0</v>
      </c>
      <c r="AD297" s="392">
        <f t="shared" si="78"/>
        <v>0</v>
      </c>
      <c r="AE297" s="392">
        <f t="shared" si="78"/>
        <v>0</v>
      </c>
      <c r="AG297" s="409">
        <f t="shared" si="75"/>
        <v>0</v>
      </c>
      <c r="AH297" s="409">
        <f t="shared" si="75"/>
        <v>0</v>
      </c>
      <c r="AI297" s="409">
        <f t="shared" si="75"/>
        <v>0</v>
      </c>
      <c r="AJ297" s="409">
        <f t="shared" si="75"/>
        <v>1</v>
      </c>
      <c r="AK297" s="409">
        <f t="shared" si="75"/>
        <v>0</v>
      </c>
      <c r="AN297" s="391">
        <v>7600</v>
      </c>
      <c r="AO297" s="423">
        <f t="shared" si="69"/>
        <v>0</v>
      </c>
    </row>
    <row r="298" spans="1:41">
      <c r="A298" s="391" t="s">
        <v>632</v>
      </c>
      <c r="B298" s="408">
        <v>38344</v>
      </c>
      <c r="C298" s="391" t="s">
        <v>1115</v>
      </c>
      <c r="D298" s="391" t="s">
        <v>1116</v>
      </c>
      <c r="E298" s="391" t="s">
        <v>539</v>
      </c>
      <c r="F298" s="391" t="s">
        <v>540</v>
      </c>
      <c r="G298" s="391">
        <v>5</v>
      </c>
      <c r="H298" s="392">
        <v>1423.5</v>
      </c>
      <c r="I298" s="392">
        <v>1423.5</v>
      </c>
      <c r="J298" s="392">
        <v>0</v>
      </c>
      <c r="K298" s="391" t="s">
        <v>515</v>
      </c>
      <c r="L298" s="391" t="s">
        <v>515</v>
      </c>
      <c r="O298" s="392">
        <f t="shared" si="79"/>
        <v>0</v>
      </c>
      <c r="P298" s="392">
        <f t="shared" si="79"/>
        <v>0</v>
      </c>
      <c r="Q298" s="392">
        <f t="shared" si="79"/>
        <v>0</v>
      </c>
      <c r="R298" s="392">
        <f t="shared" si="79"/>
        <v>1423.5</v>
      </c>
      <c r="S298" s="392">
        <f t="shared" si="79"/>
        <v>0</v>
      </c>
      <c r="U298" s="392">
        <f t="shared" si="77"/>
        <v>0</v>
      </c>
      <c r="V298" s="392">
        <f t="shared" si="77"/>
        <v>0</v>
      </c>
      <c r="W298" s="392">
        <f t="shared" si="77"/>
        <v>0</v>
      </c>
      <c r="X298" s="392">
        <f t="shared" si="77"/>
        <v>1423.5</v>
      </c>
      <c r="Y298" s="392">
        <f t="shared" si="77"/>
        <v>0</v>
      </c>
      <c r="AA298" s="392">
        <f t="shared" si="78"/>
        <v>0</v>
      </c>
      <c r="AB298" s="392">
        <f t="shared" si="78"/>
        <v>0</v>
      </c>
      <c r="AC298" s="392">
        <f t="shared" si="78"/>
        <v>0</v>
      </c>
      <c r="AD298" s="392">
        <f t="shared" si="78"/>
        <v>0</v>
      </c>
      <c r="AE298" s="392">
        <f t="shared" si="78"/>
        <v>0</v>
      </c>
      <c r="AG298" s="409">
        <f t="shared" si="75"/>
        <v>0</v>
      </c>
      <c r="AH298" s="409">
        <f t="shared" si="75"/>
        <v>0</v>
      </c>
      <c r="AI298" s="409">
        <f t="shared" si="75"/>
        <v>0</v>
      </c>
      <c r="AJ298" s="409">
        <f t="shared" si="75"/>
        <v>1</v>
      </c>
      <c r="AK298" s="409">
        <f t="shared" si="75"/>
        <v>0</v>
      </c>
      <c r="AN298" s="391">
        <v>1423.5</v>
      </c>
      <c r="AO298" s="423">
        <f t="shared" si="69"/>
        <v>0</v>
      </c>
    </row>
    <row r="299" spans="1:41">
      <c r="A299" s="391" t="s">
        <v>632</v>
      </c>
      <c r="B299" s="408">
        <v>38359</v>
      </c>
      <c r="C299" s="391" t="s">
        <v>1117</v>
      </c>
      <c r="D299" s="391" t="s">
        <v>1118</v>
      </c>
      <c r="E299" s="391" t="s">
        <v>539</v>
      </c>
      <c r="F299" s="391" t="s">
        <v>540</v>
      </c>
      <c r="G299" s="391">
        <v>5</v>
      </c>
      <c r="H299" s="392">
        <v>750</v>
      </c>
      <c r="I299" s="392">
        <v>750</v>
      </c>
      <c r="J299" s="392">
        <v>0</v>
      </c>
      <c r="K299" s="391" t="s">
        <v>515</v>
      </c>
      <c r="L299" s="391" t="s">
        <v>515</v>
      </c>
      <c r="O299" s="392">
        <f t="shared" si="79"/>
        <v>0</v>
      </c>
      <c r="P299" s="392">
        <f t="shared" si="79"/>
        <v>0</v>
      </c>
      <c r="Q299" s="392">
        <f t="shared" si="79"/>
        <v>0</v>
      </c>
      <c r="R299" s="392">
        <f t="shared" si="79"/>
        <v>750</v>
      </c>
      <c r="S299" s="392">
        <f t="shared" si="79"/>
        <v>0</v>
      </c>
      <c r="U299" s="392">
        <f t="shared" si="77"/>
        <v>0</v>
      </c>
      <c r="V299" s="392">
        <f t="shared" si="77"/>
        <v>0</v>
      </c>
      <c r="W299" s="392">
        <f t="shared" si="77"/>
        <v>0</v>
      </c>
      <c r="X299" s="392">
        <f t="shared" si="77"/>
        <v>750</v>
      </c>
      <c r="Y299" s="392">
        <f t="shared" si="77"/>
        <v>0</v>
      </c>
      <c r="AA299" s="392">
        <f t="shared" si="78"/>
        <v>0</v>
      </c>
      <c r="AB299" s="392">
        <f t="shared" si="78"/>
        <v>0</v>
      </c>
      <c r="AC299" s="392">
        <f t="shared" si="78"/>
        <v>0</v>
      </c>
      <c r="AD299" s="392">
        <f t="shared" si="78"/>
        <v>0</v>
      </c>
      <c r="AE299" s="392">
        <f t="shared" si="78"/>
        <v>0</v>
      </c>
      <c r="AG299" s="409">
        <f t="shared" si="75"/>
        <v>0</v>
      </c>
      <c r="AH299" s="409">
        <f t="shared" si="75"/>
        <v>0</v>
      </c>
      <c r="AI299" s="409">
        <f t="shared" si="75"/>
        <v>0</v>
      </c>
      <c r="AJ299" s="409">
        <f t="shared" si="75"/>
        <v>1</v>
      </c>
      <c r="AK299" s="409">
        <f t="shared" si="75"/>
        <v>0</v>
      </c>
      <c r="AN299" s="391">
        <v>750</v>
      </c>
      <c r="AO299" s="423">
        <f t="shared" si="69"/>
        <v>0</v>
      </c>
    </row>
    <row r="300" spans="1:41">
      <c r="A300" s="391" t="s">
        <v>646</v>
      </c>
      <c r="B300" s="408">
        <v>38373</v>
      </c>
      <c r="C300" s="391" t="s">
        <v>1119</v>
      </c>
      <c r="D300" s="391" t="s">
        <v>1120</v>
      </c>
      <c r="E300" s="391" t="s">
        <v>539</v>
      </c>
      <c r="F300" s="391" t="s">
        <v>540</v>
      </c>
      <c r="G300" s="391">
        <v>5</v>
      </c>
      <c r="H300" s="392">
        <v>6995</v>
      </c>
      <c r="I300" s="392">
        <v>6995</v>
      </c>
      <c r="J300" s="392">
        <v>0</v>
      </c>
      <c r="K300" s="391" t="s">
        <v>515</v>
      </c>
      <c r="L300" s="391" t="s">
        <v>515</v>
      </c>
      <c r="O300" s="392">
        <f t="shared" si="79"/>
        <v>0</v>
      </c>
      <c r="P300" s="392">
        <f t="shared" si="79"/>
        <v>0</v>
      </c>
      <c r="Q300" s="392">
        <f t="shared" si="79"/>
        <v>0</v>
      </c>
      <c r="R300" s="392">
        <f t="shared" si="79"/>
        <v>6995</v>
      </c>
      <c r="S300" s="392">
        <f t="shared" si="79"/>
        <v>0</v>
      </c>
      <c r="U300" s="392">
        <f t="shared" si="77"/>
        <v>0</v>
      </c>
      <c r="V300" s="392">
        <f t="shared" si="77"/>
        <v>0</v>
      </c>
      <c r="W300" s="392">
        <f t="shared" si="77"/>
        <v>0</v>
      </c>
      <c r="X300" s="392">
        <f t="shared" si="77"/>
        <v>6995</v>
      </c>
      <c r="Y300" s="392">
        <f t="shared" si="77"/>
        <v>0</v>
      </c>
      <c r="AA300" s="392">
        <f t="shared" si="78"/>
        <v>0</v>
      </c>
      <c r="AB300" s="392">
        <f t="shared" si="78"/>
        <v>0</v>
      </c>
      <c r="AC300" s="392">
        <f t="shared" si="78"/>
        <v>0</v>
      </c>
      <c r="AD300" s="392">
        <f t="shared" si="78"/>
        <v>0</v>
      </c>
      <c r="AE300" s="392">
        <f t="shared" si="78"/>
        <v>0</v>
      </c>
      <c r="AG300" s="409">
        <f t="shared" si="75"/>
        <v>0</v>
      </c>
      <c r="AH300" s="409">
        <f t="shared" si="75"/>
        <v>0</v>
      </c>
      <c r="AI300" s="409">
        <f t="shared" si="75"/>
        <v>0</v>
      </c>
      <c r="AJ300" s="409">
        <f t="shared" si="75"/>
        <v>1</v>
      </c>
      <c r="AK300" s="409">
        <f t="shared" si="75"/>
        <v>0</v>
      </c>
      <c r="AN300" s="391">
        <v>6995</v>
      </c>
      <c r="AO300" s="423">
        <f t="shared" si="69"/>
        <v>0</v>
      </c>
    </row>
    <row r="301" spans="1:41">
      <c r="A301" s="391" t="s">
        <v>682</v>
      </c>
      <c r="B301" s="408">
        <v>38415</v>
      </c>
      <c r="C301" s="391" t="s">
        <v>1121</v>
      </c>
      <c r="D301" s="391" t="s">
        <v>1122</v>
      </c>
      <c r="E301" s="391" t="s">
        <v>539</v>
      </c>
      <c r="F301" s="391" t="s">
        <v>540</v>
      </c>
      <c r="G301" s="391">
        <v>5</v>
      </c>
      <c r="H301" s="392">
        <v>0</v>
      </c>
      <c r="I301" s="392">
        <v>0</v>
      </c>
      <c r="J301" s="392">
        <v>0</v>
      </c>
      <c r="K301" s="391" t="s">
        <v>515</v>
      </c>
      <c r="L301" s="391" t="s">
        <v>515</v>
      </c>
      <c r="O301" s="392">
        <f t="shared" si="79"/>
        <v>0</v>
      </c>
      <c r="P301" s="392">
        <f t="shared" si="79"/>
        <v>0</v>
      </c>
      <c r="Q301" s="392">
        <f t="shared" si="79"/>
        <v>0</v>
      </c>
      <c r="R301" s="392">
        <f t="shared" si="79"/>
        <v>0</v>
      </c>
      <c r="S301" s="392">
        <f t="shared" si="79"/>
        <v>0</v>
      </c>
      <c r="U301" s="392">
        <f t="shared" si="77"/>
        <v>0</v>
      </c>
      <c r="V301" s="392">
        <f t="shared" si="77"/>
        <v>0</v>
      </c>
      <c r="W301" s="392">
        <f t="shared" si="77"/>
        <v>0</v>
      </c>
      <c r="X301" s="392">
        <f t="shared" si="77"/>
        <v>0</v>
      </c>
      <c r="Y301" s="392">
        <f t="shared" si="77"/>
        <v>0</v>
      </c>
      <c r="AA301" s="392">
        <f t="shared" si="78"/>
        <v>0</v>
      </c>
      <c r="AB301" s="392">
        <f t="shared" si="78"/>
        <v>0</v>
      </c>
      <c r="AC301" s="392">
        <f t="shared" si="78"/>
        <v>0</v>
      </c>
      <c r="AD301" s="392">
        <f t="shared" si="78"/>
        <v>0</v>
      </c>
      <c r="AE301" s="392">
        <f t="shared" si="78"/>
        <v>0</v>
      </c>
      <c r="AG301" s="409">
        <f t="shared" si="75"/>
        <v>0</v>
      </c>
      <c r="AH301" s="409">
        <f t="shared" si="75"/>
        <v>0</v>
      </c>
      <c r="AI301" s="409">
        <f t="shared" si="75"/>
        <v>0</v>
      </c>
      <c r="AJ301" s="409">
        <f t="shared" si="75"/>
        <v>0</v>
      </c>
      <c r="AK301" s="409">
        <f t="shared" si="75"/>
        <v>0</v>
      </c>
      <c r="AN301" s="391">
        <v>0</v>
      </c>
      <c r="AO301" s="423">
        <f t="shared" si="69"/>
        <v>0</v>
      </c>
    </row>
    <row r="302" spans="1:41">
      <c r="A302" s="391" t="s">
        <v>646</v>
      </c>
      <c r="B302" s="408">
        <v>38429</v>
      </c>
      <c r="C302" s="391" t="s">
        <v>1123</v>
      </c>
      <c r="D302" s="391" t="s">
        <v>1124</v>
      </c>
      <c r="E302" s="391" t="s">
        <v>539</v>
      </c>
      <c r="F302" s="391" t="s">
        <v>540</v>
      </c>
      <c r="G302" s="391">
        <v>5</v>
      </c>
      <c r="H302" s="392">
        <v>15104.5</v>
      </c>
      <c r="I302" s="392">
        <v>15104.5</v>
      </c>
      <c r="J302" s="392">
        <v>0</v>
      </c>
      <c r="K302" s="391" t="s">
        <v>515</v>
      </c>
      <c r="L302" s="391" t="s">
        <v>515</v>
      </c>
      <c r="O302" s="392">
        <f t="shared" si="79"/>
        <v>0</v>
      </c>
      <c r="P302" s="392">
        <f t="shared" si="79"/>
        <v>0</v>
      </c>
      <c r="Q302" s="392">
        <f t="shared" si="79"/>
        <v>0</v>
      </c>
      <c r="R302" s="392">
        <f t="shared" si="79"/>
        <v>15104.5</v>
      </c>
      <c r="S302" s="392">
        <f t="shared" si="79"/>
        <v>0</v>
      </c>
      <c r="U302" s="392">
        <f t="shared" si="77"/>
        <v>0</v>
      </c>
      <c r="V302" s="392">
        <f t="shared" si="77"/>
        <v>0</v>
      </c>
      <c r="W302" s="392">
        <f t="shared" si="77"/>
        <v>0</v>
      </c>
      <c r="X302" s="392">
        <f t="shared" si="77"/>
        <v>15104.5</v>
      </c>
      <c r="Y302" s="392">
        <f t="shared" si="77"/>
        <v>0</v>
      </c>
      <c r="AA302" s="392">
        <f t="shared" si="78"/>
        <v>0</v>
      </c>
      <c r="AB302" s="392">
        <f t="shared" si="78"/>
        <v>0</v>
      </c>
      <c r="AC302" s="392">
        <f t="shared" si="78"/>
        <v>0</v>
      </c>
      <c r="AD302" s="392">
        <f t="shared" si="78"/>
        <v>0</v>
      </c>
      <c r="AE302" s="392">
        <f t="shared" si="78"/>
        <v>0</v>
      </c>
      <c r="AG302" s="409">
        <f t="shared" si="75"/>
        <v>0</v>
      </c>
      <c r="AH302" s="409">
        <f t="shared" si="75"/>
        <v>0</v>
      </c>
      <c r="AI302" s="409">
        <f t="shared" si="75"/>
        <v>0</v>
      </c>
      <c r="AJ302" s="409">
        <f t="shared" si="75"/>
        <v>1</v>
      </c>
      <c r="AK302" s="409">
        <f t="shared" si="75"/>
        <v>0</v>
      </c>
      <c r="AN302" s="391">
        <v>15104.5</v>
      </c>
      <c r="AO302" s="423">
        <f t="shared" si="69"/>
        <v>0</v>
      </c>
    </row>
    <row r="303" spans="1:41">
      <c r="A303" s="391" t="s">
        <v>632</v>
      </c>
      <c r="B303" s="408">
        <v>38443</v>
      </c>
      <c r="C303" s="391" t="s">
        <v>1125</v>
      </c>
      <c r="D303" s="391" t="s">
        <v>1126</v>
      </c>
      <c r="E303" s="391" t="s">
        <v>539</v>
      </c>
      <c r="F303" s="391" t="s">
        <v>540</v>
      </c>
      <c r="G303" s="391">
        <v>5</v>
      </c>
      <c r="H303" s="392">
        <v>1231.95</v>
      </c>
      <c r="I303" s="392">
        <v>1231.95</v>
      </c>
      <c r="J303" s="392">
        <v>0</v>
      </c>
      <c r="K303" s="391" t="s">
        <v>515</v>
      </c>
      <c r="L303" s="391" t="s">
        <v>515</v>
      </c>
      <c r="O303" s="392">
        <f t="shared" si="79"/>
        <v>0</v>
      </c>
      <c r="P303" s="392">
        <f t="shared" si="79"/>
        <v>0</v>
      </c>
      <c r="Q303" s="392">
        <f t="shared" si="79"/>
        <v>0</v>
      </c>
      <c r="R303" s="392">
        <f t="shared" si="79"/>
        <v>1231.95</v>
      </c>
      <c r="S303" s="392">
        <f t="shared" si="79"/>
        <v>0</v>
      </c>
      <c r="U303" s="392">
        <f t="shared" si="77"/>
        <v>0</v>
      </c>
      <c r="V303" s="392">
        <f t="shared" si="77"/>
        <v>0</v>
      </c>
      <c r="W303" s="392">
        <f t="shared" si="77"/>
        <v>0</v>
      </c>
      <c r="X303" s="392">
        <f t="shared" si="77"/>
        <v>1231.95</v>
      </c>
      <c r="Y303" s="392">
        <f t="shared" si="77"/>
        <v>0</v>
      </c>
      <c r="AA303" s="392">
        <f t="shared" si="78"/>
        <v>0</v>
      </c>
      <c r="AB303" s="392">
        <f t="shared" si="78"/>
        <v>0</v>
      </c>
      <c r="AC303" s="392">
        <f t="shared" si="78"/>
        <v>0</v>
      </c>
      <c r="AD303" s="392">
        <f t="shared" si="78"/>
        <v>0</v>
      </c>
      <c r="AE303" s="392">
        <f t="shared" si="78"/>
        <v>0</v>
      </c>
      <c r="AG303" s="409">
        <f t="shared" si="75"/>
        <v>0</v>
      </c>
      <c r="AH303" s="409">
        <f t="shared" si="75"/>
        <v>0</v>
      </c>
      <c r="AI303" s="409">
        <f t="shared" si="75"/>
        <v>0</v>
      </c>
      <c r="AJ303" s="409">
        <f t="shared" si="75"/>
        <v>1</v>
      </c>
      <c r="AK303" s="409">
        <f t="shared" si="75"/>
        <v>0</v>
      </c>
      <c r="AN303" s="391">
        <v>1231.95</v>
      </c>
      <c r="AO303" s="423">
        <f t="shared" ref="AO303:AO363" si="80">H303-AN303</f>
        <v>0</v>
      </c>
    </row>
    <row r="304" spans="1:41">
      <c r="A304" s="391" t="s">
        <v>632</v>
      </c>
      <c r="B304" s="408">
        <v>38457</v>
      </c>
      <c r="C304" s="391" t="s">
        <v>1127</v>
      </c>
      <c r="D304" s="391" t="s">
        <v>1128</v>
      </c>
      <c r="E304" s="391" t="s">
        <v>539</v>
      </c>
      <c r="F304" s="391" t="s">
        <v>540</v>
      </c>
      <c r="G304" s="391">
        <v>5</v>
      </c>
      <c r="H304" s="392">
        <v>2500</v>
      </c>
      <c r="I304" s="392">
        <v>2500</v>
      </c>
      <c r="J304" s="392">
        <v>0</v>
      </c>
      <c r="K304" s="391" t="s">
        <v>515</v>
      </c>
      <c r="L304" s="391" t="s">
        <v>515</v>
      </c>
      <c r="O304" s="392">
        <f t="shared" si="79"/>
        <v>0</v>
      </c>
      <c r="P304" s="392">
        <f t="shared" si="79"/>
        <v>0</v>
      </c>
      <c r="Q304" s="392">
        <f t="shared" si="79"/>
        <v>0</v>
      </c>
      <c r="R304" s="392">
        <f t="shared" si="79"/>
        <v>2500</v>
      </c>
      <c r="S304" s="392">
        <f t="shared" si="79"/>
        <v>0</v>
      </c>
      <c r="U304" s="392">
        <f t="shared" si="77"/>
        <v>0</v>
      </c>
      <c r="V304" s="392">
        <f t="shared" si="77"/>
        <v>0</v>
      </c>
      <c r="W304" s="392">
        <f t="shared" si="77"/>
        <v>0</v>
      </c>
      <c r="X304" s="392">
        <f t="shared" si="77"/>
        <v>2500</v>
      </c>
      <c r="Y304" s="392">
        <f t="shared" si="77"/>
        <v>0</v>
      </c>
      <c r="AA304" s="392">
        <f t="shared" si="78"/>
        <v>0</v>
      </c>
      <c r="AB304" s="392">
        <f t="shared" si="78"/>
        <v>0</v>
      </c>
      <c r="AC304" s="392">
        <f t="shared" si="78"/>
        <v>0</v>
      </c>
      <c r="AD304" s="392">
        <f t="shared" si="78"/>
        <v>0</v>
      </c>
      <c r="AE304" s="392">
        <f t="shared" si="78"/>
        <v>0</v>
      </c>
      <c r="AG304" s="409">
        <f t="shared" si="75"/>
        <v>0</v>
      </c>
      <c r="AH304" s="409">
        <f t="shared" si="75"/>
        <v>0</v>
      </c>
      <c r="AI304" s="409">
        <f t="shared" si="75"/>
        <v>0</v>
      </c>
      <c r="AJ304" s="409">
        <f t="shared" si="75"/>
        <v>1</v>
      </c>
      <c r="AK304" s="409">
        <f t="shared" si="75"/>
        <v>0</v>
      </c>
      <c r="AN304" s="391">
        <v>2500</v>
      </c>
      <c r="AO304" s="423">
        <f t="shared" si="80"/>
        <v>0</v>
      </c>
    </row>
    <row r="305" spans="1:41">
      <c r="A305" s="391" t="s">
        <v>632</v>
      </c>
      <c r="B305" s="408">
        <v>38457</v>
      </c>
      <c r="C305" s="391" t="s">
        <v>1129</v>
      </c>
      <c r="D305" s="391" t="s">
        <v>1130</v>
      </c>
      <c r="E305" s="391" t="s">
        <v>539</v>
      </c>
      <c r="F305" s="391" t="s">
        <v>540</v>
      </c>
      <c r="G305" s="391">
        <v>5</v>
      </c>
      <c r="H305" s="392">
        <v>2477.71</v>
      </c>
      <c r="I305" s="392">
        <v>2477.71</v>
      </c>
      <c r="J305" s="392">
        <v>0</v>
      </c>
      <c r="K305" s="391" t="s">
        <v>515</v>
      </c>
      <c r="L305" s="391" t="s">
        <v>515</v>
      </c>
      <c r="O305" s="392">
        <f t="shared" si="79"/>
        <v>0</v>
      </c>
      <c r="P305" s="392">
        <f t="shared" si="79"/>
        <v>0</v>
      </c>
      <c r="Q305" s="392">
        <f t="shared" si="79"/>
        <v>0</v>
      </c>
      <c r="R305" s="392">
        <f t="shared" si="79"/>
        <v>2477.71</v>
      </c>
      <c r="S305" s="392">
        <f t="shared" si="79"/>
        <v>0</v>
      </c>
      <c r="U305" s="392">
        <f t="shared" si="77"/>
        <v>0</v>
      </c>
      <c r="V305" s="392">
        <f t="shared" si="77"/>
        <v>0</v>
      </c>
      <c r="W305" s="392">
        <f t="shared" si="77"/>
        <v>0</v>
      </c>
      <c r="X305" s="392">
        <f t="shared" si="77"/>
        <v>2477.71</v>
      </c>
      <c r="Y305" s="392">
        <f t="shared" si="77"/>
        <v>0</v>
      </c>
      <c r="AA305" s="392">
        <f t="shared" si="78"/>
        <v>0</v>
      </c>
      <c r="AB305" s="392">
        <f t="shared" si="78"/>
        <v>0</v>
      </c>
      <c r="AC305" s="392">
        <f t="shared" si="78"/>
        <v>0</v>
      </c>
      <c r="AD305" s="392">
        <f t="shared" si="78"/>
        <v>0</v>
      </c>
      <c r="AE305" s="392">
        <f t="shared" si="78"/>
        <v>0</v>
      </c>
      <c r="AG305" s="409">
        <f t="shared" si="75"/>
        <v>0</v>
      </c>
      <c r="AH305" s="409">
        <f t="shared" si="75"/>
        <v>0</v>
      </c>
      <c r="AI305" s="409">
        <f t="shared" si="75"/>
        <v>0</v>
      </c>
      <c r="AJ305" s="409">
        <f t="shared" si="75"/>
        <v>1</v>
      </c>
      <c r="AK305" s="409">
        <f t="shared" si="75"/>
        <v>0</v>
      </c>
      <c r="AN305" s="391">
        <v>2477.71</v>
      </c>
      <c r="AO305" s="423">
        <f t="shared" si="80"/>
        <v>0</v>
      </c>
    </row>
    <row r="306" spans="1:41">
      <c r="A306" s="391" t="s">
        <v>632</v>
      </c>
      <c r="B306" s="408">
        <v>38471</v>
      </c>
      <c r="C306" s="391" t="s">
        <v>1095</v>
      </c>
      <c r="D306" s="391" t="s">
        <v>1131</v>
      </c>
      <c r="E306" s="391" t="s">
        <v>539</v>
      </c>
      <c r="F306" s="391" t="s">
        <v>540</v>
      </c>
      <c r="G306" s="391">
        <v>5</v>
      </c>
      <c r="H306" s="392">
        <v>884.78</v>
      </c>
      <c r="I306" s="392">
        <v>884.78</v>
      </c>
      <c r="J306" s="392">
        <v>0</v>
      </c>
      <c r="K306" s="391" t="s">
        <v>515</v>
      </c>
      <c r="L306" s="391" t="s">
        <v>515</v>
      </c>
      <c r="O306" s="392">
        <f t="shared" si="79"/>
        <v>0</v>
      </c>
      <c r="P306" s="392">
        <f t="shared" si="79"/>
        <v>0</v>
      </c>
      <c r="Q306" s="392">
        <f t="shared" si="79"/>
        <v>0</v>
      </c>
      <c r="R306" s="392">
        <f t="shared" si="79"/>
        <v>884.78</v>
      </c>
      <c r="S306" s="392">
        <f t="shared" si="79"/>
        <v>0</v>
      </c>
      <c r="U306" s="392">
        <f t="shared" si="77"/>
        <v>0</v>
      </c>
      <c r="V306" s="392">
        <f t="shared" si="77"/>
        <v>0</v>
      </c>
      <c r="W306" s="392">
        <f t="shared" si="77"/>
        <v>0</v>
      </c>
      <c r="X306" s="392">
        <f t="shared" si="77"/>
        <v>884.78</v>
      </c>
      <c r="Y306" s="392">
        <f t="shared" si="77"/>
        <v>0</v>
      </c>
      <c r="AA306" s="392">
        <f t="shared" si="78"/>
        <v>0</v>
      </c>
      <c r="AB306" s="392">
        <f t="shared" si="78"/>
        <v>0</v>
      </c>
      <c r="AC306" s="392">
        <f t="shared" si="78"/>
        <v>0</v>
      </c>
      <c r="AD306" s="392">
        <f t="shared" si="78"/>
        <v>0</v>
      </c>
      <c r="AE306" s="392">
        <f t="shared" si="78"/>
        <v>0</v>
      </c>
      <c r="AG306" s="409">
        <f t="shared" si="75"/>
        <v>0</v>
      </c>
      <c r="AH306" s="409">
        <f t="shared" si="75"/>
        <v>0</v>
      </c>
      <c r="AI306" s="409">
        <f t="shared" si="75"/>
        <v>0</v>
      </c>
      <c r="AJ306" s="409">
        <f t="shared" si="75"/>
        <v>1</v>
      </c>
      <c r="AK306" s="409">
        <f t="shared" si="75"/>
        <v>0</v>
      </c>
      <c r="AN306" s="391">
        <v>884.78</v>
      </c>
      <c r="AO306" s="423">
        <f t="shared" si="80"/>
        <v>0</v>
      </c>
    </row>
    <row r="307" spans="1:41">
      <c r="A307" s="391" t="s">
        <v>632</v>
      </c>
      <c r="B307" s="408">
        <v>38471</v>
      </c>
      <c r="C307" s="391" t="s">
        <v>1132</v>
      </c>
      <c r="D307" s="391" t="s">
        <v>1133</v>
      </c>
      <c r="E307" s="391" t="s">
        <v>539</v>
      </c>
      <c r="F307" s="391" t="s">
        <v>540</v>
      </c>
      <c r="G307" s="391">
        <v>5</v>
      </c>
      <c r="H307" s="392">
        <v>1350</v>
      </c>
      <c r="I307" s="392">
        <v>1350</v>
      </c>
      <c r="J307" s="392">
        <v>0</v>
      </c>
      <c r="K307" s="391" t="s">
        <v>515</v>
      </c>
      <c r="L307" s="391" t="s">
        <v>515</v>
      </c>
      <c r="O307" s="392">
        <f t="shared" si="79"/>
        <v>0</v>
      </c>
      <c r="P307" s="392">
        <f t="shared" si="79"/>
        <v>0</v>
      </c>
      <c r="Q307" s="392">
        <f t="shared" si="79"/>
        <v>0</v>
      </c>
      <c r="R307" s="392">
        <f t="shared" si="79"/>
        <v>1350</v>
      </c>
      <c r="S307" s="392">
        <f t="shared" si="79"/>
        <v>0</v>
      </c>
      <c r="U307" s="392">
        <f t="shared" si="77"/>
        <v>0</v>
      </c>
      <c r="V307" s="392">
        <f t="shared" si="77"/>
        <v>0</v>
      </c>
      <c r="W307" s="392">
        <f t="shared" si="77"/>
        <v>0</v>
      </c>
      <c r="X307" s="392">
        <f t="shared" si="77"/>
        <v>1350</v>
      </c>
      <c r="Y307" s="392">
        <f t="shared" si="77"/>
        <v>0</v>
      </c>
      <c r="AA307" s="392">
        <f t="shared" si="78"/>
        <v>0</v>
      </c>
      <c r="AB307" s="392">
        <f t="shared" si="78"/>
        <v>0</v>
      </c>
      <c r="AC307" s="392">
        <f t="shared" si="78"/>
        <v>0</v>
      </c>
      <c r="AD307" s="392">
        <f t="shared" si="78"/>
        <v>0</v>
      </c>
      <c r="AE307" s="392">
        <f t="shared" si="78"/>
        <v>0</v>
      </c>
      <c r="AG307" s="409">
        <f t="shared" si="75"/>
        <v>0</v>
      </c>
      <c r="AH307" s="409">
        <f t="shared" si="75"/>
        <v>0</v>
      </c>
      <c r="AI307" s="409">
        <f t="shared" si="75"/>
        <v>0</v>
      </c>
      <c r="AJ307" s="409">
        <f t="shared" si="75"/>
        <v>1</v>
      </c>
      <c r="AK307" s="409">
        <f t="shared" si="75"/>
        <v>0</v>
      </c>
      <c r="AN307" s="391">
        <v>1350</v>
      </c>
      <c r="AO307" s="423">
        <f t="shared" si="80"/>
        <v>0</v>
      </c>
    </row>
    <row r="308" spans="1:41">
      <c r="A308" s="391" t="s">
        <v>632</v>
      </c>
      <c r="B308" s="408">
        <v>38471</v>
      </c>
      <c r="C308" s="391" t="s">
        <v>1134</v>
      </c>
      <c r="D308" s="391" t="s">
        <v>1135</v>
      </c>
      <c r="E308" s="391" t="s">
        <v>539</v>
      </c>
      <c r="F308" s="391" t="s">
        <v>540</v>
      </c>
      <c r="G308" s="391">
        <v>5</v>
      </c>
      <c r="H308" s="392">
        <v>3100</v>
      </c>
      <c r="I308" s="392">
        <v>3100</v>
      </c>
      <c r="J308" s="392">
        <v>0</v>
      </c>
      <c r="K308" s="391" t="s">
        <v>515</v>
      </c>
      <c r="L308" s="391" t="s">
        <v>515</v>
      </c>
      <c r="O308" s="392">
        <f t="shared" si="79"/>
        <v>0</v>
      </c>
      <c r="P308" s="392">
        <f t="shared" si="79"/>
        <v>0</v>
      </c>
      <c r="Q308" s="392">
        <f t="shared" si="79"/>
        <v>0</v>
      </c>
      <c r="R308" s="392">
        <f t="shared" si="79"/>
        <v>3100</v>
      </c>
      <c r="S308" s="392">
        <f t="shared" si="79"/>
        <v>0</v>
      </c>
      <c r="U308" s="392">
        <f t="shared" si="77"/>
        <v>0</v>
      </c>
      <c r="V308" s="392">
        <f t="shared" si="77"/>
        <v>0</v>
      </c>
      <c r="W308" s="392">
        <f t="shared" si="77"/>
        <v>0</v>
      </c>
      <c r="X308" s="392">
        <f t="shared" si="77"/>
        <v>3100</v>
      </c>
      <c r="Y308" s="392">
        <f t="shared" si="77"/>
        <v>0</v>
      </c>
      <c r="AA308" s="392">
        <f t="shared" si="78"/>
        <v>0</v>
      </c>
      <c r="AB308" s="392">
        <f t="shared" si="78"/>
        <v>0</v>
      </c>
      <c r="AC308" s="392">
        <f t="shared" si="78"/>
        <v>0</v>
      </c>
      <c r="AD308" s="392">
        <f t="shared" si="78"/>
        <v>0</v>
      </c>
      <c r="AE308" s="392">
        <f t="shared" si="78"/>
        <v>0</v>
      </c>
      <c r="AG308" s="409">
        <f t="shared" si="75"/>
        <v>0</v>
      </c>
      <c r="AH308" s="409">
        <f t="shared" si="75"/>
        <v>0</v>
      </c>
      <c r="AI308" s="409">
        <f t="shared" si="75"/>
        <v>0</v>
      </c>
      <c r="AJ308" s="409">
        <f t="shared" si="75"/>
        <v>1</v>
      </c>
      <c r="AK308" s="409">
        <f t="shared" si="75"/>
        <v>0</v>
      </c>
      <c r="AN308" s="391">
        <v>3100</v>
      </c>
      <c r="AO308" s="423">
        <f t="shared" si="80"/>
        <v>0</v>
      </c>
    </row>
    <row r="309" spans="1:41">
      <c r="A309" s="391" t="s">
        <v>567</v>
      </c>
      <c r="B309" s="408">
        <v>38472</v>
      </c>
      <c r="C309" s="391" t="s">
        <v>1136</v>
      </c>
      <c r="D309" s="391" t="s">
        <v>858</v>
      </c>
      <c r="E309" s="391" t="s">
        <v>539</v>
      </c>
      <c r="F309" s="391" t="s">
        <v>540</v>
      </c>
      <c r="G309" s="391">
        <v>30</v>
      </c>
      <c r="H309" s="392">
        <v>123077.16</v>
      </c>
      <c r="I309" s="392">
        <v>45128.28</v>
      </c>
      <c r="J309" s="392">
        <v>4102.57</v>
      </c>
      <c r="K309" s="391" t="s">
        <v>505</v>
      </c>
      <c r="L309" s="391" t="s">
        <v>505</v>
      </c>
      <c r="O309" s="392">
        <f t="shared" si="79"/>
        <v>0</v>
      </c>
      <c r="P309" s="392">
        <f t="shared" si="79"/>
        <v>0</v>
      </c>
      <c r="Q309" s="392">
        <f t="shared" si="79"/>
        <v>123077.16</v>
      </c>
      <c r="R309" s="392">
        <f t="shared" si="79"/>
        <v>0</v>
      </c>
      <c r="S309" s="392">
        <f t="shared" si="79"/>
        <v>0</v>
      </c>
      <c r="U309" s="392">
        <f t="shared" si="77"/>
        <v>0</v>
      </c>
      <c r="V309" s="392">
        <f t="shared" si="77"/>
        <v>0</v>
      </c>
      <c r="W309" s="392">
        <f t="shared" si="77"/>
        <v>45128.28</v>
      </c>
      <c r="X309" s="392">
        <f t="shared" si="77"/>
        <v>0</v>
      </c>
      <c r="Y309" s="392">
        <f t="shared" si="77"/>
        <v>0</v>
      </c>
      <c r="AA309" s="392">
        <f t="shared" si="78"/>
        <v>0</v>
      </c>
      <c r="AB309" s="392">
        <f t="shared" si="78"/>
        <v>0</v>
      </c>
      <c r="AC309" s="392">
        <f t="shared" si="78"/>
        <v>4102.57</v>
      </c>
      <c r="AD309" s="392">
        <f t="shared" si="78"/>
        <v>0</v>
      </c>
      <c r="AE309" s="392">
        <f t="shared" si="78"/>
        <v>0</v>
      </c>
      <c r="AG309" s="409">
        <f t="shared" si="75"/>
        <v>0</v>
      </c>
      <c r="AH309" s="409">
        <f t="shared" si="75"/>
        <v>0</v>
      </c>
      <c r="AI309" s="409">
        <f t="shared" si="75"/>
        <v>1</v>
      </c>
      <c r="AJ309" s="409">
        <f t="shared" si="75"/>
        <v>0</v>
      </c>
      <c r="AK309" s="409">
        <f t="shared" si="75"/>
        <v>0</v>
      </c>
      <c r="AN309" s="391">
        <v>123077.16</v>
      </c>
      <c r="AO309" s="423">
        <f t="shared" si="80"/>
        <v>0</v>
      </c>
    </row>
    <row r="310" spans="1:41">
      <c r="A310" s="391" t="s">
        <v>585</v>
      </c>
      <c r="B310" s="408">
        <v>38472</v>
      </c>
      <c r="C310" s="391" t="s">
        <v>1137</v>
      </c>
      <c r="D310" s="391" t="s">
        <v>1138</v>
      </c>
      <c r="E310" s="391" t="s">
        <v>539</v>
      </c>
      <c r="F310" s="391" t="s">
        <v>540</v>
      </c>
      <c r="G310" s="391">
        <v>30</v>
      </c>
      <c r="H310" s="392">
        <v>255714.89</v>
      </c>
      <c r="I310" s="392">
        <v>93762.13</v>
      </c>
      <c r="J310" s="392">
        <v>8523.83</v>
      </c>
      <c r="K310" s="391" t="s">
        <v>505</v>
      </c>
      <c r="L310" s="391" t="s">
        <v>778</v>
      </c>
      <c r="O310" s="392">
        <f>$H310*AG310</f>
        <v>0</v>
      </c>
      <c r="P310" s="392">
        <f>$H310*AH310</f>
        <v>0</v>
      </c>
      <c r="Q310" s="392">
        <f>$H310*AI310</f>
        <v>255714.89</v>
      </c>
      <c r="R310" s="392">
        <f>$H310*AJ310</f>
        <v>0</v>
      </c>
      <c r="S310" s="392">
        <f>$H310*AK310</f>
        <v>0</v>
      </c>
      <c r="U310" s="392">
        <f t="shared" si="77"/>
        <v>0</v>
      </c>
      <c r="V310" s="392">
        <f t="shared" si="77"/>
        <v>0</v>
      </c>
      <c r="W310" s="392">
        <f t="shared" si="77"/>
        <v>93762.13</v>
      </c>
      <c r="X310" s="392">
        <f t="shared" si="77"/>
        <v>0</v>
      </c>
      <c r="Y310" s="392">
        <f t="shared" si="77"/>
        <v>0</v>
      </c>
      <c r="AA310" s="392">
        <f t="shared" si="78"/>
        <v>0</v>
      </c>
      <c r="AB310" s="392">
        <f t="shared" si="78"/>
        <v>0</v>
      </c>
      <c r="AC310" s="392">
        <f t="shared" si="78"/>
        <v>8523.83</v>
      </c>
      <c r="AD310" s="392">
        <f t="shared" si="78"/>
        <v>0</v>
      </c>
      <c r="AE310" s="392">
        <f t="shared" si="78"/>
        <v>0</v>
      </c>
      <c r="AG310" s="409">
        <v>0</v>
      </c>
      <c r="AH310" s="409">
        <v>0</v>
      </c>
      <c r="AI310" s="410">
        <v>1</v>
      </c>
      <c r="AJ310" s="409">
        <v>0</v>
      </c>
      <c r="AK310" s="409">
        <v>0</v>
      </c>
      <c r="AN310" s="391">
        <v>255714.89</v>
      </c>
      <c r="AO310" s="423">
        <f t="shared" si="80"/>
        <v>0</v>
      </c>
    </row>
    <row r="311" spans="1:41">
      <c r="A311" s="391" t="s">
        <v>572</v>
      </c>
      <c r="B311" s="408">
        <v>38472</v>
      </c>
      <c r="C311" s="391" t="s">
        <v>1139</v>
      </c>
      <c r="D311" s="391" t="s">
        <v>1140</v>
      </c>
      <c r="E311" s="391" t="s">
        <v>539</v>
      </c>
      <c r="F311" s="391" t="s">
        <v>540</v>
      </c>
      <c r="G311" s="391">
        <v>30</v>
      </c>
      <c r="H311" s="392">
        <v>262823.26</v>
      </c>
      <c r="I311" s="392">
        <v>96368.56</v>
      </c>
      <c r="J311" s="392">
        <v>8760.7800000000007</v>
      </c>
      <c r="K311" s="391" t="s">
        <v>505</v>
      </c>
      <c r="L311" s="391" t="s">
        <v>505</v>
      </c>
      <c r="O311" s="392">
        <f t="shared" ref="O311:S320" si="81">IF(O$8=$K311,$H311,0)</f>
        <v>0</v>
      </c>
      <c r="P311" s="392">
        <f t="shared" si="81"/>
        <v>0</v>
      </c>
      <c r="Q311" s="392">
        <f t="shared" si="81"/>
        <v>262823.26</v>
      </c>
      <c r="R311" s="392">
        <f t="shared" si="81"/>
        <v>0</v>
      </c>
      <c r="S311" s="392">
        <f t="shared" si="81"/>
        <v>0</v>
      </c>
      <c r="U311" s="392">
        <f t="shared" si="77"/>
        <v>0</v>
      </c>
      <c r="V311" s="392">
        <f t="shared" si="77"/>
        <v>0</v>
      </c>
      <c r="W311" s="392">
        <f t="shared" si="77"/>
        <v>96368.56</v>
      </c>
      <c r="X311" s="392">
        <f t="shared" si="77"/>
        <v>0</v>
      </c>
      <c r="Y311" s="392">
        <f t="shared" si="77"/>
        <v>0</v>
      </c>
      <c r="AA311" s="392">
        <f t="shared" si="78"/>
        <v>0</v>
      </c>
      <c r="AB311" s="392">
        <f t="shared" si="78"/>
        <v>0</v>
      </c>
      <c r="AC311" s="392">
        <f t="shared" si="78"/>
        <v>8760.7800000000007</v>
      </c>
      <c r="AD311" s="392">
        <f t="shared" si="78"/>
        <v>0</v>
      </c>
      <c r="AE311" s="392">
        <f t="shared" si="78"/>
        <v>0</v>
      </c>
      <c r="AG311" s="409">
        <f t="shared" ref="AG311:AK326" si="82">IF($H311=0,0,O311/$H311)</f>
        <v>0</v>
      </c>
      <c r="AH311" s="409">
        <f t="shared" si="82"/>
        <v>0</v>
      </c>
      <c r="AI311" s="409">
        <f t="shared" si="82"/>
        <v>1</v>
      </c>
      <c r="AJ311" s="409">
        <f t="shared" si="82"/>
        <v>0</v>
      </c>
      <c r="AK311" s="409">
        <f t="shared" si="82"/>
        <v>0</v>
      </c>
      <c r="AN311" s="391">
        <v>262823.26</v>
      </c>
      <c r="AO311" s="423">
        <f t="shared" si="80"/>
        <v>0</v>
      </c>
    </row>
    <row r="312" spans="1:41">
      <c r="A312" s="391" t="s">
        <v>646</v>
      </c>
      <c r="B312" s="408">
        <v>38527</v>
      </c>
      <c r="C312" s="391" t="s">
        <v>1141</v>
      </c>
      <c r="D312" s="391" t="s">
        <v>1142</v>
      </c>
      <c r="E312" s="391" t="s">
        <v>539</v>
      </c>
      <c r="F312" s="391" t="s">
        <v>540</v>
      </c>
      <c r="G312" s="391">
        <v>5</v>
      </c>
      <c r="H312" s="392">
        <v>61831</v>
      </c>
      <c r="I312" s="392">
        <v>61831</v>
      </c>
      <c r="J312" s="392">
        <v>0</v>
      </c>
      <c r="K312" s="391" t="s">
        <v>515</v>
      </c>
      <c r="L312" s="391" t="s">
        <v>515</v>
      </c>
      <c r="O312" s="392">
        <f t="shared" si="81"/>
        <v>0</v>
      </c>
      <c r="P312" s="392">
        <f t="shared" si="81"/>
        <v>0</v>
      </c>
      <c r="Q312" s="392">
        <f t="shared" si="81"/>
        <v>0</v>
      </c>
      <c r="R312" s="392">
        <f t="shared" si="81"/>
        <v>61831</v>
      </c>
      <c r="S312" s="392">
        <f t="shared" si="81"/>
        <v>0</v>
      </c>
      <c r="U312" s="392">
        <f t="shared" si="77"/>
        <v>0</v>
      </c>
      <c r="V312" s="392">
        <f t="shared" si="77"/>
        <v>0</v>
      </c>
      <c r="W312" s="392">
        <f t="shared" si="77"/>
        <v>0</v>
      </c>
      <c r="X312" s="392">
        <f t="shared" si="77"/>
        <v>61831</v>
      </c>
      <c r="Y312" s="392">
        <f t="shared" si="77"/>
        <v>0</v>
      </c>
      <c r="AA312" s="392">
        <f t="shared" si="78"/>
        <v>0</v>
      </c>
      <c r="AB312" s="392">
        <f t="shared" si="78"/>
        <v>0</v>
      </c>
      <c r="AC312" s="392">
        <f t="shared" si="78"/>
        <v>0</v>
      </c>
      <c r="AD312" s="392">
        <f t="shared" si="78"/>
        <v>0</v>
      </c>
      <c r="AE312" s="392">
        <f t="shared" si="78"/>
        <v>0</v>
      </c>
      <c r="AG312" s="409">
        <f t="shared" si="82"/>
        <v>0</v>
      </c>
      <c r="AH312" s="409">
        <f t="shared" si="82"/>
        <v>0</v>
      </c>
      <c r="AI312" s="409">
        <f t="shared" si="82"/>
        <v>0</v>
      </c>
      <c r="AJ312" s="409">
        <f t="shared" si="82"/>
        <v>1</v>
      </c>
      <c r="AK312" s="409">
        <f t="shared" si="82"/>
        <v>0</v>
      </c>
      <c r="AN312" s="391">
        <v>61831</v>
      </c>
      <c r="AO312" s="423">
        <f t="shared" si="80"/>
        <v>0</v>
      </c>
    </row>
    <row r="313" spans="1:41">
      <c r="A313" s="391" t="s">
        <v>646</v>
      </c>
      <c r="B313" s="408">
        <v>38555</v>
      </c>
      <c r="C313" s="391" t="s">
        <v>1123</v>
      </c>
      <c r="D313" s="391" t="s">
        <v>1143</v>
      </c>
      <c r="E313" s="391" t="s">
        <v>539</v>
      </c>
      <c r="F313" s="391" t="s">
        <v>540</v>
      </c>
      <c r="G313" s="391">
        <v>5</v>
      </c>
      <c r="H313" s="392">
        <v>14452.5</v>
      </c>
      <c r="I313" s="392">
        <v>14452.5</v>
      </c>
      <c r="J313" s="392">
        <v>0</v>
      </c>
      <c r="K313" s="391" t="s">
        <v>515</v>
      </c>
      <c r="L313" s="391" t="s">
        <v>515</v>
      </c>
      <c r="O313" s="392">
        <f t="shared" si="81"/>
        <v>0</v>
      </c>
      <c r="P313" s="392">
        <f t="shared" si="81"/>
        <v>0</v>
      </c>
      <c r="Q313" s="392">
        <f t="shared" si="81"/>
        <v>0</v>
      </c>
      <c r="R313" s="392">
        <f t="shared" si="81"/>
        <v>14452.5</v>
      </c>
      <c r="S313" s="392">
        <f t="shared" si="81"/>
        <v>0</v>
      </c>
      <c r="U313" s="392">
        <f t="shared" si="77"/>
        <v>0</v>
      </c>
      <c r="V313" s="392">
        <f t="shared" si="77"/>
        <v>0</v>
      </c>
      <c r="W313" s="392">
        <f t="shared" si="77"/>
        <v>0</v>
      </c>
      <c r="X313" s="392">
        <f t="shared" si="77"/>
        <v>14452.5</v>
      </c>
      <c r="Y313" s="392">
        <f t="shared" si="77"/>
        <v>0</v>
      </c>
      <c r="AA313" s="392">
        <f t="shared" si="78"/>
        <v>0</v>
      </c>
      <c r="AB313" s="392">
        <f t="shared" si="78"/>
        <v>0</v>
      </c>
      <c r="AC313" s="392">
        <f t="shared" si="78"/>
        <v>0</v>
      </c>
      <c r="AD313" s="392">
        <f t="shared" si="78"/>
        <v>0</v>
      </c>
      <c r="AE313" s="392">
        <f t="shared" si="78"/>
        <v>0</v>
      </c>
      <c r="AG313" s="409">
        <f t="shared" si="82"/>
        <v>0</v>
      </c>
      <c r="AH313" s="409">
        <f t="shared" si="82"/>
        <v>0</v>
      </c>
      <c r="AI313" s="409">
        <f t="shared" si="82"/>
        <v>0</v>
      </c>
      <c r="AJ313" s="409">
        <f t="shared" si="82"/>
        <v>1</v>
      </c>
      <c r="AK313" s="409">
        <f t="shared" si="82"/>
        <v>0</v>
      </c>
      <c r="AN313" s="391">
        <v>14452.5</v>
      </c>
      <c r="AO313" s="423">
        <f t="shared" si="80"/>
        <v>0</v>
      </c>
    </row>
    <row r="314" spans="1:41">
      <c r="A314" s="391" t="s">
        <v>616</v>
      </c>
      <c r="B314" s="408">
        <v>38563</v>
      </c>
      <c r="C314" s="391" t="s">
        <v>1144</v>
      </c>
      <c r="D314" s="391" t="s">
        <v>1145</v>
      </c>
      <c r="E314" s="391" t="s">
        <v>539</v>
      </c>
      <c r="F314" s="391" t="s">
        <v>540</v>
      </c>
      <c r="G314" s="391">
        <v>25</v>
      </c>
      <c r="H314" s="392">
        <v>53391.17</v>
      </c>
      <c r="I314" s="392">
        <v>23492.140000000003</v>
      </c>
      <c r="J314" s="392">
        <v>2135.65</v>
      </c>
      <c r="K314" s="391" t="s">
        <v>505</v>
      </c>
      <c r="L314" s="391" t="s">
        <v>505</v>
      </c>
      <c r="O314" s="392">
        <f t="shared" si="81"/>
        <v>0</v>
      </c>
      <c r="P314" s="392">
        <f t="shared" si="81"/>
        <v>0</v>
      </c>
      <c r="Q314" s="392">
        <f t="shared" si="81"/>
        <v>53391.17</v>
      </c>
      <c r="R314" s="392">
        <f t="shared" si="81"/>
        <v>0</v>
      </c>
      <c r="S314" s="392">
        <f t="shared" si="81"/>
        <v>0</v>
      </c>
      <c r="U314" s="392">
        <f t="shared" si="77"/>
        <v>0</v>
      </c>
      <c r="V314" s="392">
        <f t="shared" si="77"/>
        <v>0</v>
      </c>
      <c r="W314" s="392">
        <f t="shared" si="77"/>
        <v>23492.140000000003</v>
      </c>
      <c r="X314" s="392">
        <f t="shared" si="77"/>
        <v>0</v>
      </c>
      <c r="Y314" s="392">
        <f t="shared" si="77"/>
        <v>0</v>
      </c>
      <c r="AA314" s="392">
        <f t="shared" si="78"/>
        <v>0</v>
      </c>
      <c r="AB314" s="392">
        <f t="shared" si="78"/>
        <v>0</v>
      </c>
      <c r="AC314" s="392">
        <f t="shared" si="78"/>
        <v>2135.65</v>
      </c>
      <c r="AD314" s="392">
        <f t="shared" si="78"/>
        <v>0</v>
      </c>
      <c r="AE314" s="392">
        <f t="shared" si="78"/>
        <v>0</v>
      </c>
      <c r="AG314" s="409">
        <f t="shared" si="82"/>
        <v>0</v>
      </c>
      <c r="AH314" s="409">
        <f t="shared" si="82"/>
        <v>0</v>
      </c>
      <c r="AI314" s="409">
        <f t="shared" si="82"/>
        <v>1</v>
      </c>
      <c r="AJ314" s="409">
        <f t="shared" si="82"/>
        <v>0</v>
      </c>
      <c r="AK314" s="409">
        <f t="shared" si="82"/>
        <v>0</v>
      </c>
      <c r="AN314" s="391">
        <v>53391.17</v>
      </c>
      <c r="AO314" s="423">
        <f t="shared" si="80"/>
        <v>0</v>
      </c>
    </row>
    <row r="315" spans="1:41">
      <c r="A315" s="391" t="s">
        <v>632</v>
      </c>
      <c r="B315" s="408">
        <v>38569</v>
      </c>
      <c r="C315" s="391" t="s">
        <v>1146</v>
      </c>
      <c r="D315" s="391" t="s">
        <v>1147</v>
      </c>
      <c r="E315" s="391" t="s">
        <v>539</v>
      </c>
      <c r="F315" s="391" t="s">
        <v>540</v>
      </c>
      <c r="G315" s="391">
        <v>5</v>
      </c>
      <c r="H315" s="392">
        <v>1074.07</v>
      </c>
      <c r="I315" s="392">
        <v>1074.07</v>
      </c>
      <c r="J315" s="392">
        <v>0</v>
      </c>
      <c r="K315" s="391" t="s">
        <v>515</v>
      </c>
      <c r="L315" s="391" t="s">
        <v>515</v>
      </c>
      <c r="O315" s="392">
        <f t="shared" si="81"/>
        <v>0</v>
      </c>
      <c r="P315" s="392">
        <f t="shared" si="81"/>
        <v>0</v>
      </c>
      <c r="Q315" s="392">
        <f t="shared" si="81"/>
        <v>0</v>
      </c>
      <c r="R315" s="392">
        <f t="shared" si="81"/>
        <v>1074.07</v>
      </c>
      <c r="S315" s="392">
        <f t="shared" si="81"/>
        <v>0</v>
      </c>
      <c r="U315" s="392">
        <f t="shared" si="77"/>
        <v>0</v>
      </c>
      <c r="V315" s="392">
        <f t="shared" si="77"/>
        <v>0</v>
      </c>
      <c r="W315" s="392">
        <f t="shared" si="77"/>
        <v>0</v>
      </c>
      <c r="X315" s="392">
        <f t="shared" si="77"/>
        <v>1074.07</v>
      </c>
      <c r="Y315" s="392">
        <f t="shared" si="77"/>
        <v>0</v>
      </c>
      <c r="AA315" s="392">
        <f t="shared" si="78"/>
        <v>0</v>
      </c>
      <c r="AB315" s="392">
        <f t="shared" si="78"/>
        <v>0</v>
      </c>
      <c r="AC315" s="392">
        <f t="shared" si="78"/>
        <v>0</v>
      </c>
      <c r="AD315" s="392">
        <f t="shared" si="78"/>
        <v>0</v>
      </c>
      <c r="AE315" s="392">
        <f t="shared" si="78"/>
        <v>0</v>
      </c>
      <c r="AG315" s="409">
        <f t="shared" si="82"/>
        <v>0</v>
      </c>
      <c r="AH315" s="409">
        <f t="shared" si="82"/>
        <v>0</v>
      </c>
      <c r="AI315" s="409">
        <f t="shared" si="82"/>
        <v>0</v>
      </c>
      <c r="AJ315" s="409">
        <f t="shared" si="82"/>
        <v>1</v>
      </c>
      <c r="AK315" s="409">
        <f t="shared" si="82"/>
        <v>0</v>
      </c>
      <c r="AN315" s="391">
        <v>1074.07</v>
      </c>
      <c r="AO315" s="423">
        <f t="shared" si="80"/>
        <v>0</v>
      </c>
    </row>
    <row r="316" spans="1:41">
      <c r="A316" s="391" t="s">
        <v>1148</v>
      </c>
      <c r="B316" s="408">
        <v>38639</v>
      </c>
      <c r="C316" s="391" t="s">
        <v>1149</v>
      </c>
      <c r="D316" s="391" t="s">
        <v>1150</v>
      </c>
      <c r="E316" s="391" t="s">
        <v>539</v>
      </c>
      <c r="F316" s="391" t="s">
        <v>540</v>
      </c>
      <c r="G316" s="391">
        <v>5</v>
      </c>
      <c r="H316" s="392">
        <v>19900.5</v>
      </c>
      <c r="I316" s="392">
        <v>19900.5</v>
      </c>
      <c r="J316" s="392">
        <v>0</v>
      </c>
      <c r="K316" s="391" t="s">
        <v>515</v>
      </c>
      <c r="L316" s="391" t="s">
        <v>515</v>
      </c>
      <c r="O316" s="392">
        <f t="shared" si="81"/>
        <v>0</v>
      </c>
      <c r="P316" s="392">
        <f t="shared" si="81"/>
        <v>0</v>
      </c>
      <c r="Q316" s="392">
        <f t="shared" si="81"/>
        <v>0</v>
      </c>
      <c r="R316" s="392">
        <f t="shared" si="81"/>
        <v>19900.5</v>
      </c>
      <c r="S316" s="392">
        <f t="shared" si="81"/>
        <v>0</v>
      </c>
      <c r="U316" s="392">
        <f t="shared" si="77"/>
        <v>0</v>
      </c>
      <c r="V316" s="392">
        <f t="shared" si="77"/>
        <v>0</v>
      </c>
      <c r="W316" s="392">
        <f t="shared" si="77"/>
        <v>0</v>
      </c>
      <c r="X316" s="392">
        <f t="shared" si="77"/>
        <v>19900.5</v>
      </c>
      <c r="Y316" s="392">
        <f t="shared" si="77"/>
        <v>0</v>
      </c>
      <c r="AA316" s="392">
        <f t="shared" si="78"/>
        <v>0</v>
      </c>
      <c r="AB316" s="392">
        <f t="shared" si="78"/>
        <v>0</v>
      </c>
      <c r="AC316" s="392">
        <f t="shared" si="78"/>
        <v>0</v>
      </c>
      <c r="AD316" s="392">
        <f t="shared" si="78"/>
        <v>0</v>
      </c>
      <c r="AE316" s="392">
        <f t="shared" si="78"/>
        <v>0</v>
      </c>
      <c r="AG316" s="409">
        <f t="shared" si="82"/>
        <v>0</v>
      </c>
      <c r="AH316" s="409">
        <f t="shared" si="82"/>
        <v>0</v>
      </c>
      <c r="AI316" s="409">
        <f t="shared" si="82"/>
        <v>0</v>
      </c>
      <c r="AJ316" s="409">
        <f t="shared" si="82"/>
        <v>1</v>
      </c>
      <c r="AK316" s="409">
        <f t="shared" si="82"/>
        <v>0</v>
      </c>
      <c r="AN316" s="391">
        <v>19900.5</v>
      </c>
      <c r="AO316" s="423">
        <f t="shared" si="80"/>
        <v>0</v>
      </c>
    </row>
    <row r="317" spans="1:41">
      <c r="A317" s="391" t="s">
        <v>632</v>
      </c>
      <c r="B317" s="408">
        <v>38679</v>
      </c>
      <c r="C317" s="391" t="s">
        <v>1151</v>
      </c>
      <c r="D317" s="391" t="s">
        <v>1152</v>
      </c>
      <c r="E317" s="391" t="s">
        <v>539</v>
      </c>
      <c r="F317" s="391" t="s">
        <v>540</v>
      </c>
      <c r="G317" s="391">
        <v>5</v>
      </c>
      <c r="H317" s="392">
        <v>40465</v>
      </c>
      <c r="I317" s="392">
        <v>40465</v>
      </c>
      <c r="J317" s="392">
        <v>0</v>
      </c>
      <c r="K317" s="391" t="s">
        <v>515</v>
      </c>
      <c r="L317" s="391" t="s">
        <v>515</v>
      </c>
      <c r="O317" s="392">
        <f t="shared" si="81"/>
        <v>0</v>
      </c>
      <c r="P317" s="392">
        <f t="shared" si="81"/>
        <v>0</v>
      </c>
      <c r="Q317" s="392">
        <f t="shared" si="81"/>
        <v>0</v>
      </c>
      <c r="R317" s="392">
        <f t="shared" si="81"/>
        <v>40465</v>
      </c>
      <c r="S317" s="392">
        <f t="shared" si="81"/>
        <v>0</v>
      </c>
      <c r="U317" s="392">
        <f t="shared" si="77"/>
        <v>0</v>
      </c>
      <c r="V317" s="392">
        <f t="shared" si="77"/>
        <v>0</v>
      </c>
      <c r="W317" s="392">
        <f t="shared" si="77"/>
        <v>0</v>
      </c>
      <c r="X317" s="392">
        <f t="shared" si="77"/>
        <v>40465</v>
      </c>
      <c r="Y317" s="392">
        <f t="shared" si="77"/>
        <v>0</v>
      </c>
      <c r="AA317" s="392">
        <f t="shared" si="78"/>
        <v>0</v>
      </c>
      <c r="AB317" s="392">
        <f t="shared" si="78"/>
        <v>0</v>
      </c>
      <c r="AC317" s="392">
        <f t="shared" si="78"/>
        <v>0</v>
      </c>
      <c r="AD317" s="392">
        <f t="shared" si="78"/>
        <v>0</v>
      </c>
      <c r="AE317" s="392">
        <f t="shared" si="78"/>
        <v>0</v>
      </c>
      <c r="AG317" s="409">
        <f t="shared" si="82"/>
        <v>0</v>
      </c>
      <c r="AH317" s="409">
        <f t="shared" si="82"/>
        <v>0</v>
      </c>
      <c r="AI317" s="409">
        <f t="shared" si="82"/>
        <v>0</v>
      </c>
      <c r="AJ317" s="409">
        <f t="shared" si="82"/>
        <v>1</v>
      </c>
      <c r="AK317" s="409">
        <f t="shared" si="82"/>
        <v>0</v>
      </c>
      <c r="AN317" s="391">
        <v>40465</v>
      </c>
      <c r="AO317" s="423">
        <f t="shared" si="80"/>
        <v>0</v>
      </c>
    </row>
    <row r="318" spans="1:41">
      <c r="A318" s="391" t="s">
        <v>682</v>
      </c>
      <c r="B318" s="408">
        <v>38723</v>
      </c>
      <c r="C318" s="391" t="s">
        <v>1153</v>
      </c>
      <c r="D318" s="391" t="s">
        <v>1154</v>
      </c>
      <c r="E318" s="391" t="s">
        <v>539</v>
      </c>
      <c r="F318" s="391" t="s">
        <v>540</v>
      </c>
      <c r="G318" s="391">
        <v>5</v>
      </c>
      <c r="H318" s="392">
        <v>39137.5</v>
      </c>
      <c r="I318" s="392">
        <v>39137.5</v>
      </c>
      <c r="J318" s="392">
        <v>0</v>
      </c>
      <c r="K318" s="391" t="s">
        <v>515</v>
      </c>
      <c r="L318" s="391" t="s">
        <v>515</v>
      </c>
      <c r="O318" s="392">
        <f t="shared" si="81"/>
        <v>0</v>
      </c>
      <c r="P318" s="392">
        <f t="shared" si="81"/>
        <v>0</v>
      </c>
      <c r="Q318" s="392">
        <f t="shared" si="81"/>
        <v>0</v>
      </c>
      <c r="R318" s="392">
        <f t="shared" si="81"/>
        <v>39137.5</v>
      </c>
      <c r="S318" s="392">
        <f t="shared" si="81"/>
        <v>0</v>
      </c>
      <c r="U318" s="392">
        <f t="shared" si="77"/>
        <v>0</v>
      </c>
      <c r="V318" s="392">
        <f t="shared" si="77"/>
        <v>0</v>
      </c>
      <c r="W318" s="392">
        <f t="shared" si="77"/>
        <v>0</v>
      </c>
      <c r="X318" s="392">
        <f t="shared" si="77"/>
        <v>39137.5</v>
      </c>
      <c r="Y318" s="392">
        <f t="shared" si="77"/>
        <v>0</v>
      </c>
      <c r="AA318" s="392">
        <f t="shared" si="78"/>
        <v>0</v>
      </c>
      <c r="AB318" s="392">
        <f t="shared" si="78"/>
        <v>0</v>
      </c>
      <c r="AC318" s="392">
        <f t="shared" si="78"/>
        <v>0</v>
      </c>
      <c r="AD318" s="392">
        <f t="shared" si="78"/>
        <v>0</v>
      </c>
      <c r="AE318" s="392">
        <f t="shared" si="78"/>
        <v>0</v>
      </c>
      <c r="AG318" s="409">
        <f t="shared" si="82"/>
        <v>0</v>
      </c>
      <c r="AH318" s="409">
        <f t="shared" si="82"/>
        <v>0</v>
      </c>
      <c r="AI318" s="409">
        <f t="shared" si="82"/>
        <v>0</v>
      </c>
      <c r="AJ318" s="409">
        <f t="shared" si="82"/>
        <v>1</v>
      </c>
      <c r="AK318" s="409">
        <f t="shared" si="82"/>
        <v>0</v>
      </c>
      <c r="AN318" s="391">
        <v>39137.5</v>
      </c>
      <c r="AO318" s="423">
        <f t="shared" si="80"/>
        <v>0</v>
      </c>
    </row>
    <row r="319" spans="1:41">
      <c r="A319" s="391" t="s">
        <v>682</v>
      </c>
      <c r="B319" s="408">
        <v>38723</v>
      </c>
      <c r="C319" s="391" t="s">
        <v>1153</v>
      </c>
      <c r="D319" s="391" t="s">
        <v>1155</v>
      </c>
      <c r="E319" s="391" t="s">
        <v>539</v>
      </c>
      <c r="F319" s="391" t="s">
        <v>540</v>
      </c>
      <c r="G319" s="391">
        <v>5</v>
      </c>
      <c r="H319" s="392">
        <v>39137.5</v>
      </c>
      <c r="I319" s="392">
        <v>39137.5</v>
      </c>
      <c r="J319" s="392">
        <v>0</v>
      </c>
      <c r="K319" s="391" t="s">
        <v>515</v>
      </c>
      <c r="L319" s="391" t="s">
        <v>515</v>
      </c>
      <c r="O319" s="392">
        <f t="shared" si="81"/>
        <v>0</v>
      </c>
      <c r="P319" s="392">
        <f t="shared" si="81"/>
        <v>0</v>
      </c>
      <c r="Q319" s="392">
        <f t="shared" si="81"/>
        <v>0</v>
      </c>
      <c r="R319" s="392">
        <f t="shared" si="81"/>
        <v>39137.5</v>
      </c>
      <c r="S319" s="392">
        <f t="shared" si="81"/>
        <v>0</v>
      </c>
      <c r="U319" s="392">
        <f t="shared" si="77"/>
        <v>0</v>
      </c>
      <c r="V319" s="392">
        <f t="shared" si="77"/>
        <v>0</v>
      </c>
      <c r="W319" s="392">
        <f t="shared" si="77"/>
        <v>0</v>
      </c>
      <c r="X319" s="392">
        <f t="shared" si="77"/>
        <v>39137.5</v>
      </c>
      <c r="Y319" s="392">
        <f t="shared" si="77"/>
        <v>0</v>
      </c>
      <c r="AA319" s="392">
        <f t="shared" si="78"/>
        <v>0</v>
      </c>
      <c r="AB319" s="392">
        <f t="shared" si="78"/>
        <v>0</v>
      </c>
      <c r="AC319" s="392">
        <f t="shared" si="78"/>
        <v>0</v>
      </c>
      <c r="AD319" s="392">
        <f t="shared" si="78"/>
        <v>0</v>
      </c>
      <c r="AE319" s="392">
        <f t="shared" si="78"/>
        <v>0</v>
      </c>
      <c r="AG319" s="409">
        <f t="shared" si="82"/>
        <v>0</v>
      </c>
      <c r="AH319" s="409">
        <f t="shared" si="82"/>
        <v>0</v>
      </c>
      <c r="AI319" s="409">
        <f t="shared" si="82"/>
        <v>0</v>
      </c>
      <c r="AJ319" s="409">
        <f t="shared" si="82"/>
        <v>1</v>
      </c>
      <c r="AK319" s="409">
        <f t="shared" si="82"/>
        <v>0</v>
      </c>
      <c r="AN319" s="391">
        <v>39137.5</v>
      </c>
      <c r="AO319" s="423">
        <f t="shared" si="80"/>
        <v>0</v>
      </c>
    </row>
    <row r="320" spans="1:41">
      <c r="A320" s="391" t="s">
        <v>632</v>
      </c>
      <c r="B320" s="408">
        <v>38807</v>
      </c>
      <c r="C320" s="391" t="s">
        <v>1156</v>
      </c>
      <c r="D320" s="391" t="s">
        <v>1157</v>
      </c>
      <c r="E320" s="391" t="s">
        <v>539</v>
      </c>
      <c r="F320" s="391" t="s">
        <v>540</v>
      </c>
      <c r="G320" s="391">
        <v>5</v>
      </c>
      <c r="H320" s="392">
        <v>3370</v>
      </c>
      <c r="I320" s="392">
        <v>3370</v>
      </c>
      <c r="J320" s="392">
        <v>0</v>
      </c>
      <c r="K320" s="391" t="s">
        <v>515</v>
      </c>
      <c r="L320" s="391" t="s">
        <v>515</v>
      </c>
      <c r="O320" s="392">
        <f t="shared" si="81"/>
        <v>0</v>
      </c>
      <c r="P320" s="392">
        <f t="shared" si="81"/>
        <v>0</v>
      </c>
      <c r="Q320" s="392">
        <f t="shared" si="81"/>
        <v>0</v>
      </c>
      <c r="R320" s="392">
        <f t="shared" si="81"/>
        <v>3370</v>
      </c>
      <c r="S320" s="392">
        <f t="shared" si="81"/>
        <v>0</v>
      </c>
      <c r="U320" s="392">
        <f t="shared" si="77"/>
        <v>0</v>
      </c>
      <c r="V320" s="392">
        <f t="shared" si="77"/>
        <v>0</v>
      </c>
      <c r="W320" s="392">
        <f t="shared" si="77"/>
        <v>0</v>
      </c>
      <c r="X320" s="392">
        <f t="shared" si="77"/>
        <v>3370</v>
      </c>
      <c r="Y320" s="392">
        <f t="shared" si="77"/>
        <v>0</v>
      </c>
      <c r="AA320" s="392">
        <f t="shared" si="78"/>
        <v>0</v>
      </c>
      <c r="AB320" s="392">
        <f t="shared" si="78"/>
        <v>0</v>
      </c>
      <c r="AC320" s="392">
        <f t="shared" si="78"/>
        <v>0</v>
      </c>
      <c r="AD320" s="392">
        <f t="shared" si="78"/>
        <v>0</v>
      </c>
      <c r="AE320" s="392">
        <f t="shared" si="78"/>
        <v>0</v>
      </c>
      <c r="AG320" s="409">
        <f t="shared" si="82"/>
        <v>0</v>
      </c>
      <c r="AH320" s="409">
        <f t="shared" si="82"/>
        <v>0</v>
      </c>
      <c r="AI320" s="409">
        <f t="shared" si="82"/>
        <v>0</v>
      </c>
      <c r="AJ320" s="409">
        <f t="shared" si="82"/>
        <v>1</v>
      </c>
      <c r="AK320" s="409">
        <f t="shared" si="82"/>
        <v>0</v>
      </c>
      <c r="AN320" s="391">
        <v>3370</v>
      </c>
      <c r="AO320" s="423">
        <f t="shared" si="80"/>
        <v>0</v>
      </c>
    </row>
    <row r="321" spans="1:41">
      <c r="A321" s="391" t="s">
        <v>632</v>
      </c>
      <c r="B321" s="408">
        <v>38835</v>
      </c>
      <c r="C321" s="391" t="s">
        <v>1158</v>
      </c>
      <c r="D321" s="391" t="s">
        <v>1159</v>
      </c>
      <c r="E321" s="391" t="s">
        <v>539</v>
      </c>
      <c r="F321" s="391" t="s">
        <v>540</v>
      </c>
      <c r="G321" s="391">
        <v>5</v>
      </c>
      <c r="H321" s="392">
        <v>0</v>
      </c>
      <c r="I321" s="392">
        <v>0</v>
      </c>
      <c r="J321" s="392">
        <v>0</v>
      </c>
      <c r="K321" s="391" t="s">
        <v>515</v>
      </c>
      <c r="L321" s="391" t="s">
        <v>515</v>
      </c>
      <c r="O321" s="392">
        <f t="shared" ref="O321:S326" si="83">IF(O$8=$K321,$H321,0)</f>
        <v>0</v>
      </c>
      <c r="P321" s="392">
        <f t="shared" si="83"/>
        <v>0</v>
      </c>
      <c r="Q321" s="392">
        <f t="shared" si="83"/>
        <v>0</v>
      </c>
      <c r="R321" s="392">
        <f t="shared" si="83"/>
        <v>0</v>
      </c>
      <c r="S321" s="392">
        <f t="shared" si="83"/>
        <v>0</v>
      </c>
      <c r="U321" s="392">
        <f t="shared" si="77"/>
        <v>0</v>
      </c>
      <c r="V321" s="392">
        <f t="shared" si="77"/>
        <v>0</v>
      </c>
      <c r="W321" s="392">
        <f t="shared" si="77"/>
        <v>0</v>
      </c>
      <c r="X321" s="392">
        <f t="shared" si="77"/>
        <v>0</v>
      </c>
      <c r="Y321" s="392">
        <f t="shared" si="77"/>
        <v>0</v>
      </c>
      <c r="AA321" s="392">
        <f t="shared" si="78"/>
        <v>0</v>
      </c>
      <c r="AB321" s="392">
        <f t="shared" si="78"/>
        <v>0</v>
      </c>
      <c r="AC321" s="392">
        <f t="shared" si="78"/>
        <v>0</v>
      </c>
      <c r="AD321" s="392">
        <f t="shared" si="78"/>
        <v>0</v>
      </c>
      <c r="AE321" s="392">
        <f t="shared" si="78"/>
        <v>0</v>
      </c>
      <c r="AG321" s="409">
        <f t="shared" si="82"/>
        <v>0</v>
      </c>
      <c r="AH321" s="409">
        <f t="shared" si="82"/>
        <v>0</v>
      </c>
      <c r="AI321" s="409">
        <f t="shared" si="82"/>
        <v>0</v>
      </c>
      <c r="AJ321" s="409">
        <f t="shared" si="82"/>
        <v>0</v>
      </c>
      <c r="AK321" s="409">
        <f t="shared" si="82"/>
        <v>0</v>
      </c>
      <c r="AN321" s="391">
        <v>0</v>
      </c>
      <c r="AO321" s="423">
        <f t="shared" si="80"/>
        <v>0</v>
      </c>
    </row>
    <row r="322" spans="1:41">
      <c r="A322" s="391" t="s">
        <v>632</v>
      </c>
      <c r="B322" s="408">
        <v>38835</v>
      </c>
      <c r="C322" s="391" t="s">
        <v>1158</v>
      </c>
      <c r="D322" s="391" t="s">
        <v>1160</v>
      </c>
      <c r="E322" s="391" t="s">
        <v>539</v>
      </c>
      <c r="F322" s="391" t="s">
        <v>540</v>
      </c>
      <c r="G322" s="391">
        <v>5</v>
      </c>
      <c r="H322" s="392">
        <v>0</v>
      </c>
      <c r="I322" s="392">
        <v>0</v>
      </c>
      <c r="J322" s="392">
        <v>0</v>
      </c>
      <c r="K322" s="391" t="s">
        <v>515</v>
      </c>
      <c r="L322" s="391" t="s">
        <v>515</v>
      </c>
      <c r="O322" s="392">
        <f t="shared" si="83"/>
        <v>0</v>
      </c>
      <c r="P322" s="392">
        <f t="shared" si="83"/>
        <v>0</v>
      </c>
      <c r="Q322" s="392">
        <f t="shared" si="83"/>
        <v>0</v>
      </c>
      <c r="R322" s="392">
        <f t="shared" si="83"/>
        <v>0</v>
      </c>
      <c r="S322" s="392">
        <f t="shared" si="83"/>
        <v>0</v>
      </c>
      <c r="U322" s="392">
        <f t="shared" si="77"/>
        <v>0</v>
      </c>
      <c r="V322" s="392">
        <f t="shared" si="77"/>
        <v>0</v>
      </c>
      <c r="W322" s="392">
        <f t="shared" si="77"/>
        <v>0</v>
      </c>
      <c r="X322" s="392">
        <f t="shared" si="77"/>
        <v>0</v>
      </c>
      <c r="Y322" s="392">
        <f t="shared" si="77"/>
        <v>0</v>
      </c>
      <c r="AA322" s="392">
        <f t="shared" si="78"/>
        <v>0</v>
      </c>
      <c r="AB322" s="392">
        <f t="shared" si="78"/>
        <v>0</v>
      </c>
      <c r="AC322" s="392">
        <f t="shared" si="78"/>
        <v>0</v>
      </c>
      <c r="AD322" s="392">
        <f t="shared" si="78"/>
        <v>0</v>
      </c>
      <c r="AE322" s="392">
        <f t="shared" si="78"/>
        <v>0</v>
      </c>
      <c r="AG322" s="409">
        <f t="shared" si="82"/>
        <v>0</v>
      </c>
      <c r="AH322" s="409">
        <f t="shared" si="82"/>
        <v>0</v>
      </c>
      <c r="AI322" s="409">
        <f t="shared" si="82"/>
        <v>0</v>
      </c>
      <c r="AJ322" s="409">
        <f t="shared" si="82"/>
        <v>0</v>
      </c>
      <c r="AK322" s="409">
        <f t="shared" si="82"/>
        <v>0</v>
      </c>
      <c r="AN322" s="391">
        <v>0</v>
      </c>
      <c r="AO322" s="423">
        <f t="shared" si="80"/>
        <v>0</v>
      </c>
    </row>
    <row r="323" spans="1:41">
      <c r="A323" s="391" t="s">
        <v>682</v>
      </c>
      <c r="B323" s="408">
        <v>38835</v>
      </c>
      <c r="C323" s="391" t="s">
        <v>1161</v>
      </c>
      <c r="D323" s="391" t="s">
        <v>1162</v>
      </c>
      <c r="E323" s="391" t="s">
        <v>539</v>
      </c>
      <c r="F323" s="391" t="s">
        <v>540</v>
      </c>
      <c r="G323" s="391">
        <v>5</v>
      </c>
      <c r="H323" s="392">
        <v>9700</v>
      </c>
      <c r="I323" s="392">
        <v>9700</v>
      </c>
      <c r="J323" s="392">
        <v>0</v>
      </c>
      <c r="K323" s="391" t="s">
        <v>515</v>
      </c>
      <c r="L323" s="391" t="s">
        <v>515</v>
      </c>
      <c r="O323" s="392">
        <f t="shared" si="83"/>
        <v>0</v>
      </c>
      <c r="P323" s="392">
        <f t="shared" si="83"/>
        <v>0</v>
      </c>
      <c r="Q323" s="392">
        <f t="shared" si="83"/>
        <v>0</v>
      </c>
      <c r="R323" s="392">
        <f t="shared" si="83"/>
        <v>9700</v>
      </c>
      <c r="S323" s="392">
        <f t="shared" si="83"/>
        <v>0</v>
      </c>
      <c r="U323" s="392">
        <f t="shared" si="77"/>
        <v>0</v>
      </c>
      <c r="V323" s="392">
        <f t="shared" si="77"/>
        <v>0</v>
      </c>
      <c r="W323" s="392">
        <f t="shared" si="77"/>
        <v>0</v>
      </c>
      <c r="X323" s="392">
        <f t="shared" si="77"/>
        <v>9700</v>
      </c>
      <c r="Y323" s="392">
        <f t="shared" si="77"/>
        <v>0</v>
      </c>
      <c r="AA323" s="392">
        <f t="shared" si="78"/>
        <v>0</v>
      </c>
      <c r="AB323" s="392">
        <f t="shared" si="78"/>
        <v>0</v>
      </c>
      <c r="AC323" s="392">
        <f t="shared" si="78"/>
        <v>0</v>
      </c>
      <c r="AD323" s="392">
        <f t="shared" si="78"/>
        <v>0</v>
      </c>
      <c r="AE323" s="392">
        <f t="shared" si="78"/>
        <v>0</v>
      </c>
      <c r="AG323" s="409">
        <f t="shared" si="82"/>
        <v>0</v>
      </c>
      <c r="AH323" s="409">
        <f t="shared" si="82"/>
        <v>0</v>
      </c>
      <c r="AI323" s="409">
        <f t="shared" si="82"/>
        <v>0</v>
      </c>
      <c r="AJ323" s="409">
        <f t="shared" si="82"/>
        <v>1</v>
      </c>
      <c r="AK323" s="409">
        <f t="shared" si="82"/>
        <v>0</v>
      </c>
      <c r="AN323" s="391">
        <v>9700</v>
      </c>
      <c r="AO323" s="423">
        <f t="shared" si="80"/>
        <v>0</v>
      </c>
    </row>
    <row r="324" spans="1:41">
      <c r="A324" s="391" t="s">
        <v>538</v>
      </c>
      <c r="B324" s="408">
        <v>38837</v>
      </c>
      <c r="C324" s="391" t="s">
        <v>1163</v>
      </c>
      <c r="D324" s="391" t="s">
        <v>1164</v>
      </c>
      <c r="E324" s="391" t="s">
        <v>539</v>
      </c>
      <c r="F324" s="391" t="s">
        <v>540</v>
      </c>
      <c r="G324" s="391">
        <v>20</v>
      </c>
      <c r="H324" s="392">
        <v>102209</v>
      </c>
      <c r="I324" s="392">
        <v>51104.5</v>
      </c>
      <c r="J324" s="392">
        <v>5110.45</v>
      </c>
      <c r="K324" s="391" t="s">
        <v>45</v>
      </c>
      <c r="L324" s="391" t="s">
        <v>45</v>
      </c>
      <c r="M324" s="391" t="s">
        <v>1165</v>
      </c>
      <c r="O324" s="392">
        <f t="shared" si="83"/>
        <v>0</v>
      </c>
      <c r="P324" s="392">
        <f t="shared" si="83"/>
        <v>102209</v>
      </c>
      <c r="Q324" s="392">
        <f t="shared" si="83"/>
        <v>0</v>
      </c>
      <c r="R324" s="392">
        <f t="shared" si="83"/>
        <v>0</v>
      </c>
      <c r="S324" s="392">
        <f t="shared" si="83"/>
        <v>0</v>
      </c>
      <c r="U324" s="392">
        <f t="shared" si="77"/>
        <v>0</v>
      </c>
      <c r="V324" s="392">
        <f t="shared" si="77"/>
        <v>51104.5</v>
      </c>
      <c r="W324" s="392">
        <f t="shared" si="77"/>
        <v>0</v>
      </c>
      <c r="X324" s="392">
        <f t="shared" si="77"/>
        <v>0</v>
      </c>
      <c r="Y324" s="392">
        <f t="shared" si="77"/>
        <v>0</v>
      </c>
      <c r="AA324" s="392">
        <f t="shared" si="78"/>
        <v>0</v>
      </c>
      <c r="AB324" s="392">
        <f t="shared" si="78"/>
        <v>5110.45</v>
      </c>
      <c r="AC324" s="392">
        <f t="shared" si="78"/>
        <v>0</v>
      </c>
      <c r="AD324" s="392">
        <f t="shared" si="78"/>
        <v>0</v>
      </c>
      <c r="AE324" s="392">
        <f t="shared" si="78"/>
        <v>0</v>
      </c>
      <c r="AG324" s="409">
        <f t="shared" si="82"/>
        <v>0</v>
      </c>
      <c r="AH324" s="409">
        <f t="shared" si="82"/>
        <v>1</v>
      </c>
      <c r="AI324" s="409">
        <f t="shared" si="82"/>
        <v>0</v>
      </c>
      <c r="AJ324" s="409">
        <f t="shared" si="82"/>
        <v>0</v>
      </c>
      <c r="AK324" s="409">
        <f t="shared" si="82"/>
        <v>0</v>
      </c>
      <c r="AN324" s="391">
        <v>102209</v>
      </c>
      <c r="AO324" s="423">
        <f t="shared" si="80"/>
        <v>0</v>
      </c>
    </row>
    <row r="325" spans="1:41">
      <c r="A325" s="391" t="s">
        <v>567</v>
      </c>
      <c r="B325" s="408">
        <v>38837</v>
      </c>
      <c r="C325" s="391" t="s">
        <v>1166</v>
      </c>
      <c r="D325" s="391" t="s">
        <v>1167</v>
      </c>
      <c r="E325" s="391" t="s">
        <v>539</v>
      </c>
      <c r="F325" s="391" t="s">
        <v>540</v>
      </c>
      <c r="G325" s="391">
        <v>30</v>
      </c>
      <c r="H325" s="392">
        <v>92586.66</v>
      </c>
      <c r="I325" s="392">
        <v>30862.210000000003</v>
      </c>
      <c r="J325" s="392">
        <v>3086.22</v>
      </c>
      <c r="K325" s="391" t="s">
        <v>505</v>
      </c>
      <c r="L325" s="391" t="s">
        <v>505</v>
      </c>
      <c r="O325" s="392">
        <f t="shared" si="83"/>
        <v>0</v>
      </c>
      <c r="P325" s="392">
        <f t="shared" si="83"/>
        <v>0</v>
      </c>
      <c r="Q325" s="392">
        <f t="shared" si="83"/>
        <v>92586.66</v>
      </c>
      <c r="R325" s="392">
        <f t="shared" si="83"/>
        <v>0</v>
      </c>
      <c r="S325" s="392">
        <f t="shared" si="83"/>
        <v>0</v>
      </c>
      <c r="U325" s="392">
        <f t="shared" si="77"/>
        <v>0</v>
      </c>
      <c r="V325" s="392">
        <f t="shared" si="77"/>
        <v>0</v>
      </c>
      <c r="W325" s="392">
        <f t="shared" si="77"/>
        <v>30862.210000000003</v>
      </c>
      <c r="X325" s="392">
        <f t="shared" si="77"/>
        <v>0</v>
      </c>
      <c r="Y325" s="392">
        <f t="shared" si="77"/>
        <v>0</v>
      </c>
      <c r="AA325" s="392">
        <f t="shared" si="78"/>
        <v>0</v>
      </c>
      <c r="AB325" s="392">
        <f t="shared" si="78"/>
        <v>0</v>
      </c>
      <c r="AC325" s="392">
        <f t="shared" si="78"/>
        <v>3086.22</v>
      </c>
      <c r="AD325" s="392">
        <f t="shared" si="78"/>
        <v>0</v>
      </c>
      <c r="AE325" s="392">
        <f t="shared" si="78"/>
        <v>0</v>
      </c>
      <c r="AG325" s="409">
        <f t="shared" si="82"/>
        <v>0</v>
      </c>
      <c r="AH325" s="409">
        <f t="shared" si="82"/>
        <v>0</v>
      </c>
      <c r="AI325" s="409">
        <f t="shared" si="82"/>
        <v>1</v>
      </c>
      <c r="AJ325" s="409">
        <f t="shared" si="82"/>
        <v>0</v>
      </c>
      <c r="AK325" s="409">
        <f t="shared" si="82"/>
        <v>0</v>
      </c>
      <c r="AN325" s="391">
        <v>92586.66</v>
      </c>
      <c r="AO325" s="423">
        <f t="shared" si="80"/>
        <v>0</v>
      </c>
    </row>
    <row r="326" spans="1:41">
      <c r="A326" s="391" t="s">
        <v>616</v>
      </c>
      <c r="B326" s="408">
        <v>38837</v>
      </c>
      <c r="C326" s="391" t="s">
        <v>1168</v>
      </c>
      <c r="D326" s="391" t="s">
        <v>1169</v>
      </c>
      <c r="E326" s="391" t="s">
        <v>539</v>
      </c>
      <c r="F326" s="391" t="s">
        <v>540</v>
      </c>
      <c r="G326" s="391">
        <v>25</v>
      </c>
      <c r="H326" s="392">
        <v>36477.440000000002</v>
      </c>
      <c r="I326" s="392">
        <v>14590.99</v>
      </c>
      <c r="J326" s="392">
        <v>1459.1</v>
      </c>
      <c r="K326" s="391" t="s">
        <v>505</v>
      </c>
      <c r="L326" s="391" t="s">
        <v>505</v>
      </c>
      <c r="O326" s="392">
        <f t="shared" si="83"/>
        <v>0</v>
      </c>
      <c r="P326" s="392">
        <f t="shared" si="83"/>
        <v>0</v>
      </c>
      <c r="Q326" s="392">
        <f t="shared" si="83"/>
        <v>36477.440000000002</v>
      </c>
      <c r="R326" s="392">
        <f t="shared" si="83"/>
        <v>0</v>
      </c>
      <c r="S326" s="392">
        <f t="shared" si="83"/>
        <v>0</v>
      </c>
      <c r="U326" s="392">
        <f t="shared" si="77"/>
        <v>0</v>
      </c>
      <c r="V326" s="392">
        <f t="shared" si="77"/>
        <v>0</v>
      </c>
      <c r="W326" s="392">
        <f t="shared" si="77"/>
        <v>14590.99</v>
      </c>
      <c r="X326" s="392">
        <f t="shared" si="77"/>
        <v>0</v>
      </c>
      <c r="Y326" s="392">
        <f t="shared" si="77"/>
        <v>0</v>
      </c>
      <c r="AA326" s="392">
        <f t="shared" si="78"/>
        <v>0</v>
      </c>
      <c r="AB326" s="392">
        <f t="shared" si="78"/>
        <v>0</v>
      </c>
      <c r="AC326" s="392">
        <f t="shared" si="78"/>
        <v>1459.1</v>
      </c>
      <c r="AD326" s="392">
        <f t="shared" si="78"/>
        <v>0</v>
      </c>
      <c r="AE326" s="392">
        <f t="shared" si="78"/>
        <v>0</v>
      </c>
      <c r="AG326" s="409">
        <f t="shared" si="82"/>
        <v>0</v>
      </c>
      <c r="AH326" s="409">
        <f t="shared" si="82"/>
        <v>0</v>
      </c>
      <c r="AI326" s="409">
        <f t="shared" si="82"/>
        <v>1</v>
      </c>
      <c r="AJ326" s="409">
        <f t="shared" si="82"/>
        <v>0</v>
      </c>
      <c r="AK326" s="409">
        <f t="shared" si="82"/>
        <v>0</v>
      </c>
      <c r="AN326" s="391">
        <v>36477.440000000002</v>
      </c>
      <c r="AO326" s="423">
        <f t="shared" si="80"/>
        <v>0</v>
      </c>
    </row>
    <row r="327" spans="1:41">
      <c r="A327" s="391" t="s">
        <v>585</v>
      </c>
      <c r="B327" s="408">
        <v>38837</v>
      </c>
      <c r="C327" s="391" t="s">
        <v>1170</v>
      </c>
      <c r="D327" s="391" t="s">
        <v>1171</v>
      </c>
      <c r="E327" s="391" t="s">
        <v>539</v>
      </c>
      <c r="F327" s="391" t="s">
        <v>540</v>
      </c>
      <c r="G327" s="391">
        <v>30</v>
      </c>
      <c r="H327" s="392">
        <v>293724.68</v>
      </c>
      <c r="I327" s="392">
        <v>97908.209999999992</v>
      </c>
      <c r="J327" s="392">
        <v>9790.82</v>
      </c>
      <c r="K327" s="391" t="s">
        <v>505</v>
      </c>
      <c r="L327" s="391" t="s">
        <v>778</v>
      </c>
      <c r="O327" s="392">
        <f>$H327*AG327</f>
        <v>0</v>
      </c>
      <c r="P327" s="392">
        <f>$H327*AH327</f>
        <v>0</v>
      </c>
      <c r="Q327" s="392">
        <f>$H327*AI327</f>
        <v>293724.68</v>
      </c>
      <c r="R327" s="392">
        <f>$H327*AJ327</f>
        <v>0</v>
      </c>
      <c r="S327" s="392">
        <f>$H327*AK327</f>
        <v>0</v>
      </c>
      <c r="U327" s="392">
        <f t="shared" si="77"/>
        <v>0</v>
      </c>
      <c r="V327" s="392">
        <f t="shared" si="77"/>
        <v>0</v>
      </c>
      <c r="W327" s="392">
        <f t="shared" si="77"/>
        <v>97908.209999999992</v>
      </c>
      <c r="X327" s="392">
        <f t="shared" si="77"/>
        <v>0</v>
      </c>
      <c r="Y327" s="392">
        <f t="shared" si="77"/>
        <v>0</v>
      </c>
      <c r="AA327" s="392">
        <f t="shared" si="78"/>
        <v>0</v>
      </c>
      <c r="AB327" s="392">
        <f t="shared" si="78"/>
        <v>0</v>
      </c>
      <c r="AC327" s="392">
        <f t="shared" si="78"/>
        <v>9790.82</v>
      </c>
      <c r="AD327" s="392">
        <f t="shared" si="78"/>
        <v>0</v>
      </c>
      <c r="AE327" s="392">
        <f t="shared" si="78"/>
        <v>0</v>
      </c>
      <c r="AG327" s="409">
        <v>0</v>
      </c>
      <c r="AH327" s="409">
        <v>0</v>
      </c>
      <c r="AI327" s="410">
        <v>1</v>
      </c>
      <c r="AJ327" s="409">
        <v>0</v>
      </c>
      <c r="AK327" s="409">
        <v>0</v>
      </c>
      <c r="AN327" s="391">
        <v>293724.68</v>
      </c>
      <c r="AO327" s="423">
        <f t="shared" si="80"/>
        <v>0</v>
      </c>
    </row>
    <row r="328" spans="1:41">
      <c r="A328" s="391" t="s">
        <v>585</v>
      </c>
      <c r="B328" s="408">
        <v>38837</v>
      </c>
      <c r="C328" s="391" t="s">
        <v>1172</v>
      </c>
      <c r="D328" s="391" t="s">
        <v>1173</v>
      </c>
      <c r="E328" s="391" t="s">
        <v>539</v>
      </c>
      <c r="F328" s="391" t="s">
        <v>540</v>
      </c>
      <c r="G328" s="391">
        <v>30</v>
      </c>
      <c r="H328" s="392">
        <v>301827.87</v>
      </c>
      <c r="I328" s="392">
        <v>100609.29999999999</v>
      </c>
      <c r="J328" s="392">
        <v>10060.93</v>
      </c>
      <c r="K328" s="391" t="s">
        <v>45</v>
      </c>
      <c r="L328" s="391" t="s">
        <v>45</v>
      </c>
      <c r="M328" s="391" t="s">
        <v>1174</v>
      </c>
      <c r="O328" s="392">
        <f t="shared" ref="O328:S337" si="84">IF(O$8=$K328,$H328,0)</f>
        <v>0</v>
      </c>
      <c r="P328" s="392">
        <f t="shared" si="84"/>
        <v>301827.87</v>
      </c>
      <c r="Q328" s="392">
        <f t="shared" si="84"/>
        <v>0</v>
      </c>
      <c r="R328" s="392">
        <f t="shared" si="84"/>
        <v>0</v>
      </c>
      <c r="S328" s="392">
        <f t="shared" si="84"/>
        <v>0</v>
      </c>
      <c r="U328" s="392">
        <f t="shared" si="77"/>
        <v>0</v>
      </c>
      <c r="V328" s="392">
        <f t="shared" si="77"/>
        <v>100609.29999999999</v>
      </c>
      <c r="W328" s="392">
        <f t="shared" si="77"/>
        <v>0</v>
      </c>
      <c r="X328" s="392">
        <f t="shared" si="77"/>
        <v>0</v>
      </c>
      <c r="Y328" s="392">
        <f t="shared" si="77"/>
        <v>0</v>
      </c>
      <c r="AA328" s="392">
        <f t="shared" si="78"/>
        <v>0</v>
      </c>
      <c r="AB328" s="392">
        <f t="shared" si="78"/>
        <v>10060.93</v>
      </c>
      <c r="AC328" s="392">
        <f t="shared" si="78"/>
        <v>0</v>
      </c>
      <c r="AD328" s="392">
        <f t="shared" si="78"/>
        <v>0</v>
      </c>
      <c r="AE328" s="392">
        <f t="shared" si="78"/>
        <v>0</v>
      </c>
      <c r="AG328" s="409">
        <f t="shared" ref="AG328:AK360" si="85">IF($H328=0,0,O328/$H328)</f>
        <v>0</v>
      </c>
      <c r="AH328" s="409">
        <f t="shared" si="85"/>
        <v>1</v>
      </c>
      <c r="AI328" s="409">
        <f t="shared" si="85"/>
        <v>0</v>
      </c>
      <c r="AJ328" s="409">
        <f t="shared" si="85"/>
        <v>0</v>
      </c>
      <c r="AK328" s="409">
        <f t="shared" si="85"/>
        <v>0</v>
      </c>
      <c r="AN328" s="391">
        <v>301827.87</v>
      </c>
      <c r="AO328" s="423">
        <f t="shared" si="80"/>
        <v>0</v>
      </c>
    </row>
    <row r="329" spans="1:41">
      <c r="A329" s="391" t="s">
        <v>585</v>
      </c>
      <c r="B329" s="408">
        <v>38837</v>
      </c>
      <c r="C329" s="391" t="s">
        <v>1172</v>
      </c>
      <c r="D329" s="391" t="s">
        <v>1175</v>
      </c>
      <c r="E329" s="391" t="s">
        <v>539</v>
      </c>
      <c r="F329" s="391" t="s">
        <v>540</v>
      </c>
      <c r="G329" s="391">
        <v>30</v>
      </c>
      <c r="H329" s="392">
        <v>538029.94999999995</v>
      </c>
      <c r="I329" s="392">
        <v>179343.31</v>
      </c>
      <c r="J329" s="392">
        <v>17934.330000000002</v>
      </c>
      <c r="K329" s="391" t="s">
        <v>505</v>
      </c>
      <c r="L329" s="391" t="s">
        <v>505</v>
      </c>
      <c r="M329" s="391" t="s">
        <v>1176</v>
      </c>
      <c r="O329" s="392">
        <f t="shared" si="84"/>
        <v>0</v>
      </c>
      <c r="P329" s="392">
        <f t="shared" si="84"/>
        <v>0</v>
      </c>
      <c r="Q329" s="392">
        <f t="shared" si="84"/>
        <v>538029.94999999995</v>
      </c>
      <c r="R329" s="392">
        <f t="shared" si="84"/>
        <v>0</v>
      </c>
      <c r="S329" s="392">
        <f t="shared" si="84"/>
        <v>0</v>
      </c>
      <c r="U329" s="392">
        <f t="shared" si="77"/>
        <v>0</v>
      </c>
      <c r="V329" s="392">
        <f t="shared" si="77"/>
        <v>0</v>
      </c>
      <c r="W329" s="392">
        <f t="shared" si="77"/>
        <v>179343.31</v>
      </c>
      <c r="X329" s="392">
        <f t="shared" si="77"/>
        <v>0</v>
      </c>
      <c r="Y329" s="392">
        <f t="shared" si="77"/>
        <v>0</v>
      </c>
      <c r="AA329" s="392">
        <f t="shared" si="78"/>
        <v>0</v>
      </c>
      <c r="AB329" s="392">
        <f t="shared" si="78"/>
        <v>0</v>
      </c>
      <c r="AC329" s="392">
        <f t="shared" si="78"/>
        <v>17934.330000000002</v>
      </c>
      <c r="AD329" s="392">
        <f t="shared" si="78"/>
        <v>0</v>
      </c>
      <c r="AE329" s="392">
        <f t="shared" si="78"/>
        <v>0</v>
      </c>
      <c r="AG329" s="409">
        <f t="shared" si="85"/>
        <v>0</v>
      </c>
      <c r="AH329" s="409">
        <f t="shared" si="85"/>
        <v>0</v>
      </c>
      <c r="AI329" s="409">
        <f t="shared" si="85"/>
        <v>1</v>
      </c>
      <c r="AJ329" s="409">
        <f t="shared" si="85"/>
        <v>0</v>
      </c>
      <c r="AK329" s="409">
        <f t="shared" si="85"/>
        <v>0</v>
      </c>
      <c r="AN329" s="391">
        <v>538029.94999999995</v>
      </c>
      <c r="AO329" s="423">
        <f t="shared" si="80"/>
        <v>0</v>
      </c>
    </row>
    <row r="330" spans="1:41">
      <c r="A330" s="391" t="s">
        <v>572</v>
      </c>
      <c r="B330" s="408">
        <v>38837</v>
      </c>
      <c r="C330" s="391" t="s">
        <v>1177</v>
      </c>
      <c r="D330" s="391" t="s">
        <v>1178</v>
      </c>
      <c r="E330" s="391" t="s">
        <v>539</v>
      </c>
      <c r="F330" s="391" t="s">
        <v>540</v>
      </c>
      <c r="G330" s="391">
        <v>30</v>
      </c>
      <c r="H330" s="392">
        <v>286468.34999999998</v>
      </c>
      <c r="I330" s="392">
        <v>95489.489999999991</v>
      </c>
      <c r="J330" s="392">
        <v>9548.9500000000007</v>
      </c>
      <c r="K330" s="391" t="s">
        <v>505</v>
      </c>
      <c r="L330" s="391" t="s">
        <v>505</v>
      </c>
      <c r="O330" s="392">
        <f t="shared" si="84"/>
        <v>0</v>
      </c>
      <c r="P330" s="392">
        <f t="shared" si="84"/>
        <v>0</v>
      </c>
      <c r="Q330" s="392">
        <f t="shared" si="84"/>
        <v>286468.34999999998</v>
      </c>
      <c r="R330" s="392">
        <f t="shared" si="84"/>
        <v>0</v>
      </c>
      <c r="S330" s="392">
        <f t="shared" si="84"/>
        <v>0</v>
      </c>
      <c r="U330" s="392">
        <f t="shared" si="77"/>
        <v>0</v>
      </c>
      <c r="V330" s="392">
        <f t="shared" si="77"/>
        <v>0</v>
      </c>
      <c r="W330" s="392">
        <f t="shared" si="77"/>
        <v>95489.489999999991</v>
      </c>
      <c r="X330" s="392">
        <f t="shared" si="77"/>
        <v>0</v>
      </c>
      <c r="Y330" s="392">
        <f t="shared" si="77"/>
        <v>0</v>
      </c>
      <c r="AA330" s="392">
        <f t="shared" si="78"/>
        <v>0</v>
      </c>
      <c r="AB330" s="392">
        <f t="shared" si="78"/>
        <v>0</v>
      </c>
      <c r="AC330" s="392">
        <f t="shared" si="78"/>
        <v>9548.9500000000007</v>
      </c>
      <c r="AD330" s="392">
        <f t="shared" si="78"/>
        <v>0</v>
      </c>
      <c r="AE330" s="392">
        <f t="shared" si="78"/>
        <v>0</v>
      </c>
      <c r="AG330" s="409">
        <f t="shared" si="85"/>
        <v>0</v>
      </c>
      <c r="AH330" s="409">
        <f t="shared" si="85"/>
        <v>0</v>
      </c>
      <c r="AI330" s="409">
        <f t="shared" si="85"/>
        <v>1</v>
      </c>
      <c r="AJ330" s="409">
        <f t="shared" si="85"/>
        <v>0</v>
      </c>
      <c r="AK330" s="409">
        <f t="shared" si="85"/>
        <v>0</v>
      </c>
      <c r="AN330" s="391">
        <v>286468.34999999998</v>
      </c>
      <c r="AO330" s="423">
        <f t="shared" si="80"/>
        <v>0</v>
      </c>
    </row>
    <row r="331" spans="1:41">
      <c r="A331" s="391" t="s">
        <v>632</v>
      </c>
      <c r="B331" s="408">
        <v>38933</v>
      </c>
      <c r="C331" s="391" t="s">
        <v>1179</v>
      </c>
      <c r="D331" s="391" t="s">
        <v>1180</v>
      </c>
      <c r="E331" s="391" t="s">
        <v>539</v>
      </c>
      <c r="F331" s="391" t="s">
        <v>540</v>
      </c>
      <c r="G331" s="391">
        <v>5</v>
      </c>
      <c r="H331" s="392">
        <v>3909.63</v>
      </c>
      <c r="I331" s="392">
        <v>3909.63</v>
      </c>
      <c r="J331" s="392">
        <v>0</v>
      </c>
      <c r="K331" s="391" t="s">
        <v>515</v>
      </c>
      <c r="L331" s="391" t="s">
        <v>515</v>
      </c>
      <c r="O331" s="392">
        <f t="shared" si="84"/>
        <v>0</v>
      </c>
      <c r="P331" s="392">
        <f t="shared" si="84"/>
        <v>0</v>
      </c>
      <c r="Q331" s="392">
        <f t="shared" si="84"/>
        <v>0</v>
      </c>
      <c r="R331" s="392">
        <f t="shared" si="84"/>
        <v>3909.63</v>
      </c>
      <c r="S331" s="392">
        <f t="shared" si="84"/>
        <v>0</v>
      </c>
      <c r="U331" s="392">
        <f t="shared" si="77"/>
        <v>0</v>
      </c>
      <c r="V331" s="392">
        <f t="shared" si="77"/>
        <v>0</v>
      </c>
      <c r="W331" s="392">
        <f t="shared" si="77"/>
        <v>0</v>
      </c>
      <c r="X331" s="392">
        <f t="shared" si="77"/>
        <v>3909.63</v>
      </c>
      <c r="Y331" s="392">
        <f t="shared" si="77"/>
        <v>0</v>
      </c>
      <c r="AA331" s="392">
        <f t="shared" si="78"/>
        <v>0</v>
      </c>
      <c r="AB331" s="392">
        <f t="shared" si="78"/>
        <v>0</v>
      </c>
      <c r="AC331" s="392">
        <f t="shared" si="78"/>
        <v>0</v>
      </c>
      <c r="AD331" s="392">
        <f t="shared" si="78"/>
        <v>0</v>
      </c>
      <c r="AE331" s="392">
        <f t="shared" si="78"/>
        <v>0</v>
      </c>
      <c r="AG331" s="409">
        <f t="shared" si="85"/>
        <v>0</v>
      </c>
      <c r="AH331" s="409">
        <f t="shared" si="85"/>
        <v>0</v>
      </c>
      <c r="AI331" s="409">
        <f t="shared" si="85"/>
        <v>0</v>
      </c>
      <c r="AJ331" s="409">
        <f t="shared" si="85"/>
        <v>1</v>
      </c>
      <c r="AK331" s="409">
        <f t="shared" si="85"/>
        <v>0</v>
      </c>
      <c r="AN331" s="391">
        <v>3909.63</v>
      </c>
      <c r="AO331" s="423">
        <f t="shared" si="80"/>
        <v>0</v>
      </c>
    </row>
    <row r="332" spans="1:41">
      <c r="A332" s="391" t="s">
        <v>632</v>
      </c>
      <c r="B332" s="408">
        <v>38947</v>
      </c>
      <c r="C332" s="391" t="s">
        <v>1181</v>
      </c>
      <c r="D332" s="391" t="s">
        <v>1182</v>
      </c>
      <c r="E332" s="391" t="s">
        <v>539</v>
      </c>
      <c r="F332" s="391" t="s">
        <v>540</v>
      </c>
      <c r="G332" s="391">
        <v>5</v>
      </c>
      <c r="H332" s="392">
        <v>25748.04</v>
      </c>
      <c r="I332" s="392">
        <v>25748.04</v>
      </c>
      <c r="J332" s="392">
        <v>0</v>
      </c>
      <c r="K332" s="391" t="s">
        <v>515</v>
      </c>
      <c r="L332" s="391" t="s">
        <v>515</v>
      </c>
      <c r="O332" s="392">
        <f t="shared" si="84"/>
        <v>0</v>
      </c>
      <c r="P332" s="392">
        <f t="shared" si="84"/>
        <v>0</v>
      </c>
      <c r="Q332" s="392">
        <f t="shared" si="84"/>
        <v>0</v>
      </c>
      <c r="R332" s="392">
        <f t="shared" si="84"/>
        <v>25748.04</v>
      </c>
      <c r="S332" s="392">
        <f t="shared" si="84"/>
        <v>0</v>
      </c>
      <c r="U332" s="392">
        <f t="shared" si="77"/>
        <v>0</v>
      </c>
      <c r="V332" s="392">
        <f t="shared" si="77"/>
        <v>0</v>
      </c>
      <c r="W332" s="392">
        <f t="shared" si="77"/>
        <v>0</v>
      </c>
      <c r="X332" s="392">
        <f t="shared" si="77"/>
        <v>25748.04</v>
      </c>
      <c r="Y332" s="392">
        <f t="shared" si="77"/>
        <v>0</v>
      </c>
      <c r="AA332" s="392">
        <f t="shared" si="78"/>
        <v>0</v>
      </c>
      <c r="AB332" s="392">
        <f t="shared" si="78"/>
        <v>0</v>
      </c>
      <c r="AC332" s="392">
        <f t="shared" si="78"/>
        <v>0</v>
      </c>
      <c r="AD332" s="392">
        <f t="shared" si="78"/>
        <v>0</v>
      </c>
      <c r="AE332" s="392">
        <f t="shared" si="78"/>
        <v>0</v>
      </c>
      <c r="AG332" s="409">
        <f t="shared" si="85"/>
        <v>0</v>
      </c>
      <c r="AH332" s="409">
        <f t="shared" si="85"/>
        <v>0</v>
      </c>
      <c r="AI332" s="409">
        <f t="shared" si="85"/>
        <v>0</v>
      </c>
      <c r="AJ332" s="409">
        <f t="shared" si="85"/>
        <v>1</v>
      </c>
      <c r="AK332" s="409">
        <f t="shared" si="85"/>
        <v>0</v>
      </c>
      <c r="AN332" s="391">
        <v>25748.04</v>
      </c>
      <c r="AO332" s="423">
        <f t="shared" si="80"/>
        <v>0</v>
      </c>
    </row>
    <row r="333" spans="1:41">
      <c r="A333" s="391" t="s">
        <v>632</v>
      </c>
      <c r="B333" s="408">
        <v>38989</v>
      </c>
      <c r="C333" s="391" t="s">
        <v>1183</v>
      </c>
      <c r="D333" s="391" t="s">
        <v>1184</v>
      </c>
      <c r="E333" s="391" t="s">
        <v>539</v>
      </c>
      <c r="F333" s="391" t="s">
        <v>540</v>
      </c>
      <c r="G333" s="391">
        <v>5</v>
      </c>
      <c r="H333" s="392">
        <v>7000</v>
      </c>
      <c r="I333" s="392">
        <v>7000</v>
      </c>
      <c r="J333" s="392">
        <v>0</v>
      </c>
      <c r="K333" s="391" t="s">
        <v>515</v>
      </c>
      <c r="L333" s="391" t="s">
        <v>515</v>
      </c>
      <c r="O333" s="392">
        <f t="shared" si="84"/>
        <v>0</v>
      </c>
      <c r="P333" s="392">
        <f t="shared" si="84"/>
        <v>0</v>
      </c>
      <c r="Q333" s="392">
        <f t="shared" si="84"/>
        <v>0</v>
      </c>
      <c r="R333" s="392">
        <f t="shared" si="84"/>
        <v>7000</v>
      </c>
      <c r="S333" s="392">
        <f t="shared" si="84"/>
        <v>0</v>
      </c>
      <c r="U333" s="392">
        <f t="shared" si="77"/>
        <v>0</v>
      </c>
      <c r="V333" s="392">
        <f t="shared" si="77"/>
        <v>0</v>
      </c>
      <c r="W333" s="392">
        <f t="shared" si="77"/>
        <v>0</v>
      </c>
      <c r="X333" s="392">
        <f t="shared" si="77"/>
        <v>7000</v>
      </c>
      <c r="Y333" s="392">
        <f t="shared" si="77"/>
        <v>0</v>
      </c>
      <c r="AA333" s="392">
        <f t="shared" si="78"/>
        <v>0</v>
      </c>
      <c r="AB333" s="392">
        <f t="shared" si="78"/>
        <v>0</v>
      </c>
      <c r="AC333" s="392">
        <f t="shared" si="78"/>
        <v>0</v>
      </c>
      <c r="AD333" s="392">
        <f t="shared" si="78"/>
        <v>0</v>
      </c>
      <c r="AE333" s="392">
        <f t="shared" si="78"/>
        <v>0</v>
      </c>
      <c r="AG333" s="409">
        <f t="shared" si="85"/>
        <v>0</v>
      </c>
      <c r="AH333" s="409">
        <f t="shared" si="85"/>
        <v>0</v>
      </c>
      <c r="AI333" s="409">
        <f t="shared" si="85"/>
        <v>0</v>
      </c>
      <c r="AJ333" s="409">
        <f t="shared" si="85"/>
        <v>1</v>
      </c>
      <c r="AK333" s="409">
        <f t="shared" si="85"/>
        <v>0</v>
      </c>
      <c r="AN333" s="391">
        <v>7000</v>
      </c>
      <c r="AO333" s="423">
        <f t="shared" si="80"/>
        <v>0</v>
      </c>
    </row>
    <row r="334" spans="1:41">
      <c r="A334" s="391" t="s">
        <v>632</v>
      </c>
      <c r="B334" s="408">
        <v>39003</v>
      </c>
      <c r="C334" s="391" t="s">
        <v>1185</v>
      </c>
      <c r="D334" s="391" t="s">
        <v>1186</v>
      </c>
      <c r="E334" s="391" t="s">
        <v>539</v>
      </c>
      <c r="F334" s="391" t="s">
        <v>540</v>
      </c>
      <c r="G334" s="391">
        <v>5</v>
      </c>
      <c r="H334" s="392">
        <v>0</v>
      </c>
      <c r="I334" s="392">
        <v>0</v>
      </c>
      <c r="J334" s="392">
        <v>0</v>
      </c>
      <c r="K334" s="391" t="s">
        <v>515</v>
      </c>
      <c r="L334" s="391" t="s">
        <v>515</v>
      </c>
      <c r="O334" s="392">
        <f t="shared" si="84"/>
        <v>0</v>
      </c>
      <c r="P334" s="392">
        <f t="shared" si="84"/>
        <v>0</v>
      </c>
      <c r="Q334" s="392">
        <f t="shared" si="84"/>
        <v>0</v>
      </c>
      <c r="R334" s="392">
        <f t="shared" si="84"/>
        <v>0</v>
      </c>
      <c r="S334" s="392">
        <f t="shared" si="84"/>
        <v>0</v>
      </c>
      <c r="U334" s="392">
        <f t="shared" si="77"/>
        <v>0</v>
      </c>
      <c r="V334" s="392">
        <f t="shared" si="77"/>
        <v>0</v>
      </c>
      <c r="W334" s="392">
        <f t="shared" si="77"/>
        <v>0</v>
      </c>
      <c r="X334" s="392">
        <f t="shared" si="77"/>
        <v>0</v>
      </c>
      <c r="Y334" s="392">
        <f t="shared" si="77"/>
        <v>0</v>
      </c>
      <c r="AA334" s="392">
        <f t="shared" si="78"/>
        <v>0</v>
      </c>
      <c r="AB334" s="392">
        <f t="shared" si="78"/>
        <v>0</v>
      </c>
      <c r="AC334" s="392">
        <f t="shared" si="78"/>
        <v>0</v>
      </c>
      <c r="AD334" s="392">
        <f t="shared" si="78"/>
        <v>0</v>
      </c>
      <c r="AE334" s="392">
        <f t="shared" si="78"/>
        <v>0</v>
      </c>
      <c r="AG334" s="409">
        <f t="shared" si="85"/>
        <v>0</v>
      </c>
      <c r="AH334" s="409">
        <f t="shared" si="85"/>
        <v>0</v>
      </c>
      <c r="AI334" s="409">
        <f t="shared" si="85"/>
        <v>0</v>
      </c>
      <c r="AJ334" s="409">
        <f t="shared" si="85"/>
        <v>0</v>
      </c>
      <c r="AK334" s="409">
        <f t="shared" si="85"/>
        <v>0</v>
      </c>
      <c r="AN334" s="391">
        <v>0</v>
      </c>
      <c r="AO334" s="423">
        <f t="shared" si="80"/>
        <v>0</v>
      </c>
    </row>
    <row r="335" spans="1:41">
      <c r="A335" s="391" t="s">
        <v>632</v>
      </c>
      <c r="B335" s="408">
        <v>39003</v>
      </c>
      <c r="C335" s="391" t="s">
        <v>1187</v>
      </c>
      <c r="D335" s="391" t="s">
        <v>1188</v>
      </c>
      <c r="E335" s="391" t="s">
        <v>539</v>
      </c>
      <c r="F335" s="391" t="s">
        <v>540</v>
      </c>
      <c r="G335" s="391">
        <v>5</v>
      </c>
      <c r="H335" s="392">
        <v>0</v>
      </c>
      <c r="I335" s="392">
        <v>0</v>
      </c>
      <c r="J335" s="392">
        <v>0</v>
      </c>
      <c r="K335" s="391" t="s">
        <v>515</v>
      </c>
      <c r="L335" s="391" t="s">
        <v>515</v>
      </c>
      <c r="O335" s="392">
        <f t="shared" si="84"/>
        <v>0</v>
      </c>
      <c r="P335" s="392">
        <f t="shared" si="84"/>
        <v>0</v>
      </c>
      <c r="Q335" s="392">
        <f t="shared" si="84"/>
        <v>0</v>
      </c>
      <c r="R335" s="392">
        <f t="shared" si="84"/>
        <v>0</v>
      </c>
      <c r="S335" s="392">
        <f t="shared" si="84"/>
        <v>0</v>
      </c>
      <c r="U335" s="392">
        <f t="shared" ref="U335:Y385" si="86">$I335*AG335</f>
        <v>0</v>
      </c>
      <c r="V335" s="392">
        <f t="shared" si="86"/>
        <v>0</v>
      </c>
      <c r="W335" s="392">
        <f t="shared" si="86"/>
        <v>0</v>
      </c>
      <c r="X335" s="392">
        <f t="shared" si="86"/>
        <v>0</v>
      </c>
      <c r="Y335" s="392">
        <f t="shared" si="86"/>
        <v>0</v>
      </c>
      <c r="AA335" s="392">
        <f t="shared" ref="AA335:AE385" si="87">$J335*AG335</f>
        <v>0</v>
      </c>
      <c r="AB335" s="392">
        <f t="shared" si="87"/>
        <v>0</v>
      </c>
      <c r="AC335" s="392">
        <f t="shared" si="87"/>
        <v>0</v>
      </c>
      <c r="AD335" s="392">
        <f t="shared" si="87"/>
        <v>0</v>
      </c>
      <c r="AE335" s="392">
        <f t="shared" si="87"/>
        <v>0</v>
      </c>
      <c r="AG335" s="409">
        <f t="shared" si="85"/>
        <v>0</v>
      </c>
      <c r="AH335" s="409">
        <f t="shared" si="85"/>
        <v>0</v>
      </c>
      <c r="AI335" s="409">
        <f t="shared" si="85"/>
        <v>0</v>
      </c>
      <c r="AJ335" s="409">
        <f t="shared" si="85"/>
        <v>0</v>
      </c>
      <c r="AK335" s="409">
        <f t="shared" si="85"/>
        <v>0</v>
      </c>
      <c r="AN335" s="391">
        <v>0</v>
      </c>
      <c r="AO335" s="423">
        <f t="shared" si="80"/>
        <v>0</v>
      </c>
    </row>
    <row r="336" spans="1:41">
      <c r="A336" s="391" t="s">
        <v>632</v>
      </c>
      <c r="B336" s="408">
        <v>39003</v>
      </c>
      <c r="C336" s="391" t="s">
        <v>1185</v>
      </c>
      <c r="D336" s="391" t="s">
        <v>1189</v>
      </c>
      <c r="E336" s="391" t="s">
        <v>539</v>
      </c>
      <c r="F336" s="391" t="s">
        <v>540</v>
      </c>
      <c r="G336" s="391">
        <v>5</v>
      </c>
      <c r="H336" s="392">
        <v>0</v>
      </c>
      <c r="I336" s="392">
        <v>0</v>
      </c>
      <c r="J336" s="392">
        <v>0</v>
      </c>
      <c r="K336" s="391" t="s">
        <v>515</v>
      </c>
      <c r="L336" s="391" t="s">
        <v>515</v>
      </c>
      <c r="O336" s="392">
        <f t="shared" si="84"/>
        <v>0</v>
      </c>
      <c r="P336" s="392">
        <f t="shared" si="84"/>
        <v>0</v>
      </c>
      <c r="Q336" s="392">
        <f t="shared" si="84"/>
        <v>0</v>
      </c>
      <c r="R336" s="392">
        <f t="shared" si="84"/>
        <v>0</v>
      </c>
      <c r="S336" s="392">
        <f t="shared" si="84"/>
        <v>0</v>
      </c>
      <c r="U336" s="392">
        <f t="shared" si="86"/>
        <v>0</v>
      </c>
      <c r="V336" s="392">
        <f t="shared" si="86"/>
        <v>0</v>
      </c>
      <c r="W336" s="392">
        <f t="shared" si="86"/>
        <v>0</v>
      </c>
      <c r="X336" s="392">
        <f t="shared" si="86"/>
        <v>0</v>
      </c>
      <c r="Y336" s="392">
        <f t="shared" si="86"/>
        <v>0</v>
      </c>
      <c r="AA336" s="392">
        <f t="shared" si="87"/>
        <v>0</v>
      </c>
      <c r="AB336" s="392">
        <f t="shared" si="87"/>
        <v>0</v>
      </c>
      <c r="AC336" s="392">
        <f t="shared" si="87"/>
        <v>0</v>
      </c>
      <c r="AD336" s="392">
        <f t="shared" si="87"/>
        <v>0</v>
      </c>
      <c r="AE336" s="392">
        <f t="shared" si="87"/>
        <v>0</v>
      </c>
      <c r="AG336" s="409">
        <f t="shared" si="85"/>
        <v>0</v>
      </c>
      <c r="AH336" s="409">
        <f t="shared" si="85"/>
        <v>0</v>
      </c>
      <c r="AI336" s="409">
        <f t="shared" si="85"/>
        <v>0</v>
      </c>
      <c r="AJ336" s="409">
        <f t="shared" si="85"/>
        <v>0</v>
      </c>
      <c r="AK336" s="409">
        <f t="shared" si="85"/>
        <v>0</v>
      </c>
      <c r="AN336" s="391">
        <v>0</v>
      </c>
      <c r="AO336" s="423">
        <f t="shared" si="80"/>
        <v>0</v>
      </c>
    </row>
    <row r="337" spans="1:41">
      <c r="A337" s="391" t="s">
        <v>632</v>
      </c>
      <c r="B337" s="408">
        <v>39003</v>
      </c>
      <c r="C337" s="391" t="s">
        <v>1187</v>
      </c>
      <c r="D337" s="391" t="s">
        <v>1190</v>
      </c>
      <c r="E337" s="391" t="s">
        <v>539</v>
      </c>
      <c r="F337" s="391" t="s">
        <v>540</v>
      </c>
      <c r="G337" s="391">
        <v>5</v>
      </c>
      <c r="H337" s="392">
        <v>0</v>
      </c>
      <c r="I337" s="392">
        <v>0</v>
      </c>
      <c r="J337" s="392">
        <v>0</v>
      </c>
      <c r="K337" s="391" t="s">
        <v>515</v>
      </c>
      <c r="L337" s="391" t="s">
        <v>515</v>
      </c>
      <c r="O337" s="392">
        <f t="shared" si="84"/>
        <v>0</v>
      </c>
      <c r="P337" s="392">
        <f t="shared" si="84"/>
        <v>0</v>
      </c>
      <c r="Q337" s="392">
        <f t="shared" si="84"/>
        <v>0</v>
      </c>
      <c r="R337" s="392">
        <f t="shared" si="84"/>
        <v>0</v>
      </c>
      <c r="S337" s="392">
        <f t="shared" si="84"/>
        <v>0</v>
      </c>
      <c r="U337" s="392">
        <f t="shared" si="86"/>
        <v>0</v>
      </c>
      <c r="V337" s="392">
        <f t="shared" si="86"/>
        <v>0</v>
      </c>
      <c r="W337" s="392">
        <f t="shared" si="86"/>
        <v>0</v>
      </c>
      <c r="X337" s="392">
        <f t="shared" si="86"/>
        <v>0</v>
      </c>
      <c r="Y337" s="392">
        <f t="shared" si="86"/>
        <v>0</v>
      </c>
      <c r="AA337" s="392">
        <f t="shared" si="87"/>
        <v>0</v>
      </c>
      <c r="AB337" s="392">
        <f t="shared" si="87"/>
        <v>0</v>
      </c>
      <c r="AC337" s="392">
        <f t="shared" si="87"/>
        <v>0</v>
      </c>
      <c r="AD337" s="392">
        <f t="shared" si="87"/>
        <v>0</v>
      </c>
      <c r="AE337" s="392">
        <f t="shared" si="87"/>
        <v>0</v>
      </c>
      <c r="AG337" s="409">
        <f t="shared" si="85"/>
        <v>0</v>
      </c>
      <c r="AH337" s="409">
        <f t="shared" si="85"/>
        <v>0</v>
      </c>
      <c r="AI337" s="409">
        <f t="shared" si="85"/>
        <v>0</v>
      </c>
      <c r="AJ337" s="409">
        <f t="shared" si="85"/>
        <v>0</v>
      </c>
      <c r="AK337" s="409">
        <f t="shared" si="85"/>
        <v>0</v>
      </c>
      <c r="AN337" s="391">
        <v>0</v>
      </c>
      <c r="AO337" s="423">
        <f t="shared" si="80"/>
        <v>0</v>
      </c>
    </row>
    <row r="338" spans="1:41">
      <c r="A338" s="391" t="s">
        <v>682</v>
      </c>
      <c r="B338" s="408">
        <v>39017</v>
      </c>
      <c r="C338" s="391" t="s">
        <v>1191</v>
      </c>
      <c r="D338" s="391" t="s">
        <v>1192</v>
      </c>
      <c r="E338" s="391" t="s">
        <v>539</v>
      </c>
      <c r="F338" s="391" t="s">
        <v>540</v>
      </c>
      <c r="G338" s="391">
        <v>5</v>
      </c>
      <c r="H338" s="392">
        <v>3399.64</v>
      </c>
      <c r="I338" s="392">
        <v>3399.64</v>
      </c>
      <c r="J338" s="392">
        <v>0</v>
      </c>
      <c r="K338" s="391" t="s">
        <v>515</v>
      </c>
      <c r="L338" s="391" t="s">
        <v>515</v>
      </c>
      <c r="O338" s="392">
        <f t="shared" ref="O338:S347" si="88">IF(O$8=$K338,$H338,0)</f>
        <v>0</v>
      </c>
      <c r="P338" s="392">
        <f t="shared" si="88"/>
        <v>0</v>
      </c>
      <c r="Q338" s="392">
        <f t="shared" si="88"/>
        <v>0</v>
      </c>
      <c r="R338" s="392">
        <f t="shared" si="88"/>
        <v>3399.64</v>
      </c>
      <c r="S338" s="392">
        <f t="shared" si="88"/>
        <v>0</v>
      </c>
      <c r="U338" s="392">
        <f t="shared" si="86"/>
        <v>0</v>
      </c>
      <c r="V338" s="392">
        <f t="shared" si="86"/>
        <v>0</v>
      </c>
      <c r="W338" s="392">
        <f t="shared" si="86"/>
        <v>0</v>
      </c>
      <c r="X338" s="392">
        <f t="shared" si="86"/>
        <v>3399.64</v>
      </c>
      <c r="Y338" s="392">
        <f t="shared" si="86"/>
        <v>0</v>
      </c>
      <c r="AA338" s="392">
        <f t="shared" si="87"/>
        <v>0</v>
      </c>
      <c r="AB338" s="392">
        <f t="shared" si="87"/>
        <v>0</v>
      </c>
      <c r="AC338" s="392">
        <f t="shared" si="87"/>
        <v>0</v>
      </c>
      <c r="AD338" s="392">
        <f t="shared" si="87"/>
        <v>0</v>
      </c>
      <c r="AE338" s="392">
        <f t="shared" si="87"/>
        <v>0</v>
      </c>
      <c r="AG338" s="409">
        <f t="shared" si="85"/>
        <v>0</v>
      </c>
      <c r="AH338" s="409">
        <f t="shared" si="85"/>
        <v>0</v>
      </c>
      <c r="AI338" s="409">
        <f t="shared" si="85"/>
        <v>0</v>
      </c>
      <c r="AJ338" s="409">
        <f t="shared" si="85"/>
        <v>1</v>
      </c>
      <c r="AK338" s="409">
        <f t="shared" si="85"/>
        <v>0</v>
      </c>
      <c r="AN338" s="391">
        <v>3399.64</v>
      </c>
      <c r="AO338" s="423">
        <f t="shared" si="80"/>
        <v>0</v>
      </c>
    </row>
    <row r="339" spans="1:41">
      <c r="A339" s="391" t="s">
        <v>632</v>
      </c>
      <c r="B339" s="408">
        <v>39059</v>
      </c>
      <c r="C339" s="391" t="s">
        <v>1193</v>
      </c>
      <c r="D339" s="391" t="s">
        <v>1194</v>
      </c>
      <c r="E339" s="391" t="s">
        <v>539</v>
      </c>
      <c r="F339" s="391" t="s">
        <v>540</v>
      </c>
      <c r="G339" s="391">
        <v>5</v>
      </c>
      <c r="H339" s="392">
        <v>0</v>
      </c>
      <c r="I339" s="392">
        <v>0</v>
      </c>
      <c r="J339" s="392">
        <v>0</v>
      </c>
      <c r="K339" s="391" t="s">
        <v>515</v>
      </c>
      <c r="L339" s="391" t="s">
        <v>515</v>
      </c>
      <c r="O339" s="392">
        <f t="shared" si="88"/>
        <v>0</v>
      </c>
      <c r="P339" s="392">
        <f t="shared" si="88"/>
        <v>0</v>
      </c>
      <c r="Q339" s="392">
        <f t="shared" si="88"/>
        <v>0</v>
      </c>
      <c r="R339" s="392">
        <f t="shared" si="88"/>
        <v>0</v>
      </c>
      <c r="S339" s="392">
        <f t="shared" si="88"/>
        <v>0</v>
      </c>
      <c r="U339" s="392">
        <f t="shared" si="86"/>
        <v>0</v>
      </c>
      <c r="V339" s="392">
        <f t="shared" si="86"/>
        <v>0</v>
      </c>
      <c r="W339" s="392">
        <f t="shared" si="86"/>
        <v>0</v>
      </c>
      <c r="X339" s="392">
        <f t="shared" si="86"/>
        <v>0</v>
      </c>
      <c r="Y339" s="392">
        <f t="shared" si="86"/>
        <v>0</v>
      </c>
      <c r="AA339" s="392">
        <f t="shared" si="87"/>
        <v>0</v>
      </c>
      <c r="AB339" s="392">
        <f t="shared" si="87"/>
        <v>0</v>
      </c>
      <c r="AC339" s="392">
        <f t="shared" si="87"/>
        <v>0</v>
      </c>
      <c r="AD339" s="392">
        <f t="shared" si="87"/>
        <v>0</v>
      </c>
      <c r="AE339" s="392">
        <f t="shared" si="87"/>
        <v>0</v>
      </c>
      <c r="AG339" s="409">
        <f t="shared" si="85"/>
        <v>0</v>
      </c>
      <c r="AH339" s="409">
        <f t="shared" si="85"/>
        <v>0</v>
      </c>
      <c r="AI339" s="409">
        <f t="shared" si="85"/>
        <v>0</v>
      </c>
      <c r="AJ339" s="409">
        <f t="shared" si="85"/>
        <v>0</v>
      </c>
      <c r="AK339" s="409">
        <f t="shared" si="85"/>
        <v>0</v>
      </c>
      <c r="AN339" s="391">
        <v>0</v>
      </c>
      <c r="AO339" s="423">
        <f t="shared" si="80"/>
        <v>0</v>
      </c>
    </row>
    <row r="340" spans="1:41">
      <c r="A340" s="391" t="s">
        <v>646</v>
      </c>
      <c r="B340" s="408">
        <v>39087</v>
      </c>
      <c r="C340" s="391" t="s">
        <v>1195</v>
      </c>
      <c r="D340" s="391" t="s">
        <v>1196</v>
      </c>
      <c r="E340" s="391" t="s">
        <v>539</v>
      </c>
      <c r="F340" s="391" t="s">
        <v>540</v>
      </c>
      <c r="G340" s="391">
        <v>5</v>
      </c>
      <c r="H340" s="392">
        <v>98000</v>
      </c>
      <c r="I340" s="392">
        <v>98000</v>
      </c>
      <c r="J340" s="392">
        <v>0</v>
      </c>
      <c r="K340" s="391" t="s">
        <v>515</v>
      </c>
      <c r="L340" s="391" t="s">
        <v>515</v>
      </c>
      <c r="O340" s="392">
        <f t="shared" si="88"/>
        <v>0</v>
      </c>
      <c r="P340" s="392">
        <f t="shared" si="88"/>
        <v>0</v>
      </c>
      <c r="Q340" s="392">
        <f t="shared" si="88"/>
        <v>0</v>
      </c>
      <c r="R340" s="392">
        <f t="shared" si="88"/>
        <v>98000</v>
      </c>
      <c r="S340" s="392">
        <f t="shared" si="88"/>
        <v>0</v>
      </c>
      <c r="U340" s="392">
        <f t="shared" si="86"/>
        <v>0</v>
      </c>
      <c r="V340" s="392">
        <f t="shared" si="86"/>
        <v>0</v>
      </c>
      <c r="W340" s="392">
        <f t="shared" si="86"/>
        <v>0</v>
      </c>
      <c r="X340" s="392">
        <f t="shared" si="86"/>
        <v>98000</v>
      </c>
      <c r="Y340" s="392">
        <f t="shared" si="86"/>
        <v>0</v>
      </c>
      <c r="AA340" s="392">
        <f t="shared" si="87"/>
        <v>0</v>
      </c>
      <c r="AB340" s="392">
        <f t="shared" si="87"/>
        <v>0</v>
      </c>
      <c r="AC340" s="392">
        <f t="shared" si="87"/>
        <v>0</v>
      </c>
      <c r="AD340" s="392">
        <f t="shared" si="87"/>
        <v>0</v>
      </c>
      <c r="AE340" s="392">
        <f t="shared" si="87"/>
        <v>0</v>
      </c>
      <c r="AG340" s="409">
        <f t="shared" si="85"/>
        <v>0</v>
      </c>
      <c r="AH340" s="409">
        <f t="shared" si="85"/>
        <v>0</v>
      </c>
      <c r="AI340" s="409">
        <f t="shared" si="85"/>
        <v>0</v>
      </c>
      <c r="AJ340" s="409">
        <f t="shared" si="85"/>
        <v>1</v>
      </c>
      <c r="AK340" s="409">
        <f t="shared" si="85"/>
        <v>0</v>
      </c>
      <c r="AN340" s="391">
        <v>98000</v>
      </c>
      <c r="AO340" s="423">
        <f t="shared" si="80"/>
        <v>0</v>
      </c>
    </row>
    <row r="341" spans="1:41">
      <c r="A341" s="391" t="s">
        <v>646</v>
      </c>
      <c r="B341" s="408">
        <v>39087</v>
      </c>
      <c r="C341" s="391" t="s">
        <v>1197</v>
      </c>
      <c r="D341" s="391" t="s">
        <v>1198</v>
      </c>
      <c r="E341" s="391" t="s">
        <v>539</v>
      </c>
      <c r="F341" s="391" t="s">
        <v>540</v>
      </c>
      <c r="G341" s="391">
        <v>5</v>
      </c>
      <c r="H341" s="392">
        <v>19900.5</v>
      </c>
      <c r="I341" s="392">
        <v>19900.5</v>
      </c>
      <c r="J341" s="392">
        <v>0</v>
      </c>
      <c r="K341" s="391" t="s">
        <v>515</v>
      </c>
      <c r="L341" s="391" t="s">
        <v>515</v>
      </c>
      <c r="O341" s="392">
        <f t="shared" si="88"/>
        <v>0</v>
      </c>
      <c r="P341" s="392">
        <f t="shared" si="88"/>
        <v>0</v>
      </c>
      <c r="Q341" s="392">
        <f t="shared" si="88"/>
        <v>0</v>
      </c>
      <c r="R341" s="392">
        <f t="shared" si="88"/>
        <v>19900.5</v>
      </c>
      <c r="S341" s="392">
        <f t="shared" si="88"/>
        <v>0</v>
      </c>
      <c r="U341" s="392">
        <f t="shared" si="86"/>
        <v>0</v>
      </c>
      <c r="V341" s="392">
        <f t="shared" si="86"/>
        <v>0</v>
      </c>
      <c r="W341" s="392">
        <f t="shared" si="86"/>
        <v>0</v>
      </c>
      <c r="X341" s="392">
        <f t="shared" si="86"/>
        <v>19900.5</v>
      </c>
      <c r="Y341" s="392">
        <f t="shared" si="86"/>
        <v>0</v>
      </c>
      <c r="AA341" s="392">
        <f t="shared" si="87"/>
        <v>0</v>
      </c>
      <c r="AB341" s="392">
        <f t="shared" si="87"/>
        <v>0</v>
      </c>
      <c r="AC341" s="392">
        <f t="shared" si="87"/>
        <v>0</v>
      </c>
      <c r="AD341" s="392">
        <f t="shared" si="87"/>
        <v>0</v>
      </c>
      <c r="AE341" s="392">
        <f t="shared" si="87"/>
        <v>0</v>
      </c>
      <c r="AG341" s="409">
        <f t="shared" si="85"/>
        <v>0</v>
      </c>
      <c r="AH341" s="409">
        <f t="shared" si="85"/>
        <v>0</v>
      </c>
      <c r="AI341" s="409">
        <f t="shared" si="85"/>
        <v>0</v>
      </c>
      <c r="AJ341" s="409">
        <f t="shared" si="85"/>
        <v>1</v>
      </c>
      <c r="AK341" s="409">
        <f t="shared" si="85"/>
        <v>0</v>
      </c>
      <c r="AN341" s="391">
        <v>19900.5</v>
      </c>
      <c r="AO341" s="423">
        <f t="shared" si="80"/>
        <v>0</v>
      </c>
    </row>
    <row r="342" spans="1:41">
      <c r="A342" s="391" t="s">
        <v>646</v>
      </c>
      <c r="B342" s="408">
        <v>39087</v>
      </c>
      <c r="C342" s="391" t="s">
        <v>1197</v>
      </c>
      <c r="D342" s="391" t="s">
        <v>1199</v>
      </c>
      <c r="E342" s="391" t="s">
        <v>539</v>
      </c>
      <c r="F342" s="391" t="s">
        <v>540</v>
      </c>
      <c r="G342" s="391">
        <v>5</v>
      </c>
      <c r="H342" s="392">
        <v>19900.5</v>
      </c>
      <c r="I342" s="392">
        <v>19900.5</v>
      </c>
      <c r="J342" s="392">
        <v>0</v>
      </c>
      <c r="K342" s="391" t="s">
        <v>515</v>
      </c>
      <c r="L342" s="391" t="s">
        <v>515</v>
      </c>
      <c r="O342" s="392">
        <f t="shared" si="88"/>
        <v>0</v>
      </c>
      <c r="P342" s="392">
        <f t="shared" si="88"/>
        <v>0</v>
      </c>
      <c r="Q342" s="392">
        <f t="shared" si="88"/>
        <v>0</v>
      </c>
      <c r="R342" s="392">
        <f t="shared" si="88"/>
        <v>19900.5</v>
      </c>
      <c r="S342" s="392">
        <f t="shared" si="88"/>
        <v>0</v>
      </c>
      <c r="U342" s="392">
        <f t="shared" si="86"/>
        <v>0</v>
      </c>
      <c r="V342" s="392">
        <f t="shared" si="86"/>
        <v>0</v>
      </c>
      <c r="W342" s="392">
        <f t="shared" si="86"/>
        <v>0</v>
      </c>
      <c r="X342" s="392">
        <f t="shared" si="86"/>
        <v>19900.5</v>
      </c>
      <c r="Y342" s="392">
        <f t="shared" si="86"/>
        <v>0</v>
      </c>
      <c r="AA342" s="392">
        <f t="shared" si="87"/>
        <v>0</v>
      </c>
      <c r="AB342" s="392">
        <f t="shared" si="87"/>
        <v>0</v>
      </c>
      <c r="AC342" s="392">
        <f t="shared" si="87"/>
        <v>0</v>
      </c>
      <c r="AD342" s="392">
        <f t="shared" si="87"/>
        <v>0</v>
      </c>
      <c r="AE342" s="392">
        <f t="shared" si="87"/>
        <v>0</v>
      </c>
      <c r="AG342" s="409">
        <f t="shared" si="85"/>
        <v>0</v>
      </c>
      <c r="AH342" s="409">
        <f t="shared" si="85"/>
        <v>0</v>
      </c>
      <c r="AI342" s="409">
        <f t="shared" si="85"/>
        <v>0</v>
      </c>
      <c r="AJ342" s="409">
        <f t="shared" si="85"/>
        <v>1</v>
      </c>
      <c r="AK342" s="409">
        <f t="shared" si="85"/>
        <v>0</v>
      </c>
      <c r="AN342" s="391">
        <v>19900.5</v>
      </c>
      <c r="AO342" s="423">
        <f t="shared" si="80"/>
        <v>0</v>
      </c>
    </row>
    <row r="343" spans="1:41">
      <c r="A343" s="391" t="s">
        <v>646</v>
      </c>
      <c r="B343" s="408">
        <v>39129</v>
      </c>
      <c r="C343" s="391" t="s">
        <v>1200</v>
      </c>
      <c r="D343" s="391" t="s">
        <v>1201</v>
      </c>
      <c r="E343" s="391" t="s">
        <v>539</v>
      </c>
      <c r="F343" s="391" t="s">
        <v>540</v>
      </c>
      <c r="G343" s="391">
        <v>5</v>
      </c>
      <c r="H343" s="392">
        <v>133895</v>
      </c>
      <c r="I343" s="392">
        <v>133895</v>
      </c>
      <c r="J343" s="392">
        <v>0</v>
      </c>
      <c r="K343" s="391" t="s">
        <v>515</v>
      </c>
      <c r="L343" s="391" t="s">
        <v>515</v>
      </c>
      <c r="O343" s="392">
        <f t="shared" si="88"/>
        <v>0</v>
      </c>
      <c r="P343" s="392">
        <f t="shared" si="88"/>
        <v>0</v>
      </c>
      <c r="Q343" s="392">
        <f t="shared" si="88"/>
        <v>0</v>
      </c>
      <c r="R343" s="392">
        <f t="shared" si="88"/>
        <v>133895</v>
      </c>
      <c r="S343" s="392">
        <f t="shared" si="88"/>
        <v>0</v>
      </c>
      <c r="U343" s="392">
        <f t="shared" si="86"/>
        <v>0</v>
      </c>
      <c r="V343" s="392">
        <f t="shared" si="86"/>
        <v>0</v>
      </c>
      <c r="W343" s="392">
        <f t="shared" si="86"/>
        <v>0</v>
      </c>
      <c r="X343" s="392">
        <f t="shared" si="86"/>
        <v>133895</v>
      </c>
      <c r="Y343" s="392">
        <f t="shared" si="86"/>
        <v>0</v>
      </c>
      <c r="AA343" s="392">
        <f t="shared" si="87"/>
        <v>0</v>
      </c>
      <c r="AB343" s="392">
        <f t="shared" si="87"/>
        <v>0</v>
      </c>
      <c r="AC343" s="392">
        <f t="shared" si="87"/>
        <v>0</v>
      </c>
      <c r="AD343" s="392">
        <f t="shared" si="87"/>
        <v>0</v>
      </c>
      <c r="AE343" s="392">
        <f t="shared" si="87"/>
        <v>0</v>
      </c>
      <c r="AG343" s="409">
        <f t="shared" si="85"/>
        <v>0</v>
      </c>
      <c r="AH343" s="409">
        <f t="shared" si="85"/>
        <v>0</v>
      </c>
      <c r="AI343" s="409">
        <f t="shared" si="85"/>
        <v>0</v>
      </c>
      <c r="AJ343" s="409">
        <f t="shared" si="85"/>
        <v>1</v>
      </c>
      <c r="AK343" s="409">
        <f t="shared" si="85"/>
        <v>0</v>
      </c>
      <c r="AN343" s="391">
        <v>133895</v>
      </c>
      <c r="AO343" s="423">
        <f t="shared" si="80"/>
        <v>0</v>
      </c>
    </row>
    <row r="344" spans="1:41">
      <c r="A344" s="391" t="s">
        <v>632</v>
      </c>
      <c r="B344" s="408">
        <v>39129</v>
      </c>
      <c r="C344" s="391" t="s">
        <v>1202</v>
      </c>
      <c r="D344" s="391" t="s">
        <v>1203</v>
      </c>
      <c r="E344" s="391" t="s">
        <v>539</v>
      </c>
      <c r="F344" s="391" t="s">
        <v>540</v>
      </c>
      <c r="G344" s="391">
        <v>5</v>
      </c>
      <c r="H344" s="392">
        <v>29997.8</v>
      </c>
      <c r="I344" s="392">
        <v>29997.8</v>
      </c>
      <c r="J344" s="392">
        <v>0</v>
      </c>
      <c r="K344" s="391" t="s">
        <v>515</v>
      </c>
      <c r="L344" s="391" t="s">
        <v>515</v>
      </c>
      <c r="O344" s="392">
        <f t="shared" si="88"/>
        <v>0</v>
      </c>
      <c r="P344" s="392">
        <f t="shared" si="88"/>
        <v>0</v>
      </c>
      <c r="Q344" s="392">
        <f t="shared" si="88"/>
        <v>0</v>
      </c>
      <c r="R344" s="392">
        <f t="shared" si="88"/>
        <v>29997.8</v>
      </c>
      <c r="S344" s="392">
        <f t="shared" si="88"/>
        <v>0</v>
      </c>
      <c r="U344" s="392">
        <f t="shared" si="86"/>
        <v>0</v>
      </c>
      <c r="V344" s="392">
        <f t="shared" si="86"/>
        <v>0</v>
      </c>
      <c r="W344" s="392">
        <f t="shared" si="86"/>
        <v>0</v>
      </c>
      <c r="X344" s="392">
        <f t="shared" si="86"/>
        <v>29997.8</v>
      </c>
      <c r="Y344" s="392">
        <f t="shared" si="86"/>
        <v>0</v>
      </c>
      <c r="AA344" s="392">
        <f t="shared" si="87"/>
        <v>0</v>
      </c>
      <c r="AB344" s="392">
        <f t="shared" si="87"/>
        <v>0</v>
      </c>
      <c r="AC344" s="392">
        <f t="shared" si="87"/>
        <v>0</v>
      </c>
      <c r="AD344" s="392">
        <f t="shared" si="87"/>
        <v>0</v>
      </c>
      <c r="AE344" s="392">
        <f t="shared" si="87"/>
        <v>0</v>
      </c>
      <c r="AG344" s="409">
        <f t="shared" si="85"/>
        <v>0</v>
      </c>
      <c r="AH344" s="409">
        <f t="shared" si="85"/>
        <v>0</v>
      </c>
      <c r="AI344" s="409">
        <f t="shared" si="85"/>
        <v>0</v>
      </c>
      <c r="AJ344" s="409">
        <f t="shared" si="85"/>
        <v>1</v>
      </c>
      <c r="AK344" s="409">
        <f t="shared" si="85"/>
        <v>0</v>
      </c>
      <c r="AN344" s="391">
        <v>29997.8</v>
      </c>
      <c r="AO344" s="423">
        <f t="shared" si="80"/>
        <v>0</v>
      </c>
    </row>
    <row r="345" spans="1:41">
      <c r="A345" s="391" t="s">
        <v>632</v>
      </c>
      <c r="B345" s="408">
        <v>39157</v>
      </c>
      <c r="C345" s="391" t="s">
        <v>1204</v>
      </c>
      <c r="D345" s="391" t="s">
        <v>1205</v>
      </c>
      <c r="E345" s="391" t="s">
        <v>539</v>
      </c>
      <c r="F345" s="391" t="s">
        <v>540</v>
      </c>
      <c r="G345" s="391">
        <v>5</v>
      </c>
      <c r="H345" s="392">
        <v>0</v>
      </c>
      <c r="I345" s="392">
        <v>0</v>
      </c>
      <c r="J345" s="392">
        <v>0</v>
      </c>
      <c r="K345" s="391" t="s">
        <v>515</v>
      </c>
      <c r="L345" s="391" t="s">
        <v>515</v>
      </c>
      <c r="O345" s="392">
        <f t="shared" si="88"/>
        <v>0</v>
      </c>
      <c r="P345" s="392">
        <f t="shared" si="88"/>
        <v>0</v>
      </c>
      <c r="Q345" s="392">
        <f t="shared" si="88"/>
        <v>0</v>
      </c>
      <c r="R345" s="392">
        <f t="shared" si="88"/>
        <v>0</v>
      </c>
      <c r="S345" s="392">
        <f t="shared" si="88"/>
        <v>0</v>
      </c>
      <c r="U345" s="392">
        <f t="shared" si="86"/>
        <v>0</v>
      </c>
      <c r="V345" s="392">
        <f t="shared" si="86"/>
        <v>0</v>
      </c>
      <c r="W345" s="392">
        <f t="shared" si="86"/>
        <v>0</v>
      </c>
      <c r="X345" s="392">
        <f t="shared" si="86"/>
        <v>0</v>
      </c>
      <c r="Y345" s="392">
        <f t="shared" si="86"/>
        <v>0</v>
      </c>
      <c r="AA345" s="392">
        <f t="shared" si="87"/>
        <v>0</v>
      </c>
      <c r="AB345" s="392">
        <f t="shared" si="87"/>
        <v>0</v>
      </c>
      <c r="AC345" s="392">
        <f t="shared" si="87"/>
        <v>0</v>
      </c>
      <c r="AD345" s="392">
        <f t="shared" si="87"/>
        <v>0</v>
      </c>
      <c r="AE345" s="392">
        <f t="shared" si="87"/>
        <v>0</v>
      </c>
      <c r="AG345" s="409">
        <f t="shared" si="85"/>
        <v>0</v>
      </c>
      <c r="AH345" s="409">
        <f t="shared" si="85"/>
        <v>0</v>
      </c>
      <c r="AI345" s="409">
        <f t="shared" si="85"/>
        <v>0</v>
      </c>
      <c r="AJ345" s="409">
        <f t="shared" si="85"/>
        <v>0</v>
      </c>
      <c r="AK345" s="409">
        <f t="shared" si="85"/>
        <v>0</v>
      </c>
      <c r="AN345" s="391">
        <v>0</v>
      </c>
      <c r="AO345" s="423">
        <f t="shared" si="80"/>
        <v>0</v>
      </c>
    </row>
    <row r="346" spans="1:41">
      <c r="A346" s="391" t="s">
        <v>632</v>
      </c>
      <c r="B346" s="408">
        <v>39157</v>
      </c>
      <c r="C346" s="391" t="s">
        <v>1206</v>
      </c>
      <c r="D346" s="391" t="s">
        <v>1207</v>
      </c>
      <c r="E346" s="391" t="s">
        <v>539</v>
      </c>
      <c r="F346" s="391" t="s">
        <v>540</v>
      </c>
      <c r="G346" s="391">
        <v>5</v>
      </c>
      <c r="H346" s="392">
        <v>0</v>
      </c>
      <c r="I346" s="392">
        <v>0</v>
      </c>
      <c r="J346" s="392">
        <v>0</v>
      </c>
      <c r="K346" s="391" t="s">
        <v>515</v>
      </c>
      <c r="L346" s="391" t="s">
        <v>515</v>
      </c>
      <c r="O346" s="392">
        <f t="shared" si="88"/>
        <v>0</v>
      </c>
      <c r="P346" s="392">
        <f t="shared" si="88"/>
        <v>0</v>
      </c>
      <c r="Q346" s="392">
        <f t="shared" si="88"/>
        <v>0</v>
      </c>
      <c r="R346" s="392">
        <f t="shared" si="88"/>
        <v>0</v>
      </c>
      <c r="S346" s="392">
        <f t="shared" si="88"/>
        <v>0</v>
      </c>
      <c r="U346" s="392">
        <f t="shared" si="86"/>
        <v>0</v>
      </c>
      <c r="V346" s="392">
        <f t="shared" si="86"/>
        <v>0</v>
      </c>
      <c r="W346" s="392">
        <f t="shared" si="86"/>
        <v>0</v>
      </c>
      <c r="X346" s="392">
        <f t="shared" si="86"/>
        <v>0</v>
      </c>
      <c r="Y346" s="392">
        <f t="shared" si="86"/>
        <v>0</v>
      </c>
      <c r="AA346" s="392">
        <f t="shared" si="87"/>
        <v>0</v>
      </c>
      <c r="AB346" s="392">
        <f t="shared" si="87"/>
        <v>0</v>
      </c>
      <c r="AC346" s="392">
        <f t="shared" si="87"/>
        <v>0</v>
      </c>
      <c r="AD346" s="392">
        <f t="shared" si="87"/>
        <v>0</v>
      </c>
      <c r="AE346" s="392">
        <f t="shared" si="87"/>
        <v>0</v>
      </c>
      <c r="AG346" s="409">
        <f t="shared" si="85"/>
        <v>0</v>
      </c>
      <c r="AH346" s="409">
        <f t="shared" si="85"/>
        <v>0</v>
      </c>
      <c r="AI346" s="409">
        <f t="shared" si="85"/>
        <v>0</v>
      </c>
      <c r="AJ346" s="409">
        <f t="shared" si="85"/>
        <v>0</v>
      </c>
      <c r="AK346" s="409">
        <f t="shared" si="85"/>
        <v>0</v>
      </c>
      <c r="AN346" s="391">
        <v>0</v>
      </c>
      <c r="AO346" s="423">
        <f t="shared" si="80"/>
        <v>0</v>
      </c>
    </row>
    <row r="347" spans="1:41">
      <c r="A347" s="391" t="s">
        <v>632</v>
      </c>
      <c r="B347" s="408">
        <v>39157</v>
      </c>
      <c r="C347" s="391" t="s">
        <v>1208</v>
      </c>
      <c r="D347" s="391" t="s">
        <v>1209</v>
      </c>
      <c r="E347" s="391" t="s">
        <v>539</v>
      </c>
      <c r="F347" s="391" t="s">
        <v>540</v>
      </c>
      <c r="G347" s="391">
        <v>5</v>
      </c>
      <c r="H347" s="392">
        <v>10830.97</v>
      </c>
      <c r="I347" s="392">
        <v>10830.97</v>
      </c>
      <c r="J347" s="392">
        <v>0</v>
      </c>
      <c r="K347" s="391" t="s">
        <v>515</v>
      </c>
      <c r="L347" s="391" t="s">
        <v>515</v>
      </c>
      <c r="O347" s="392">
        <f t="shared" si="88"/>
        <v>0</v>
      </c>
      <c r="P347" s="392">
        <f t="shared" si="88"/>
        <v>0</v>
      </c>
      <c r="Q347" s="392">
        <f t="shared" si="88"/>
        <v>0</v>
      </c>
      <c r="R347" s="392">
        <f t="shared" si="88"/>
        <v>10830.97</v>
      </c>
      <c r="S347" s="392">
        <f t="shared" si="88"/>
        <v>0</v>
      </c>
      <c r="U347" s="392">
        <f t="shared" si="86"/>
        <v>0</v>
      </c>
      <c r="V347" s="392">
        <f t="shared" si="86"/>
        <v>0</v>
      </c>
      <c r="W347" s="392">
        <f t="shared" si="86"/>
        <v>0</v>
      </c>
      <c r="X347" s="392">
        <f t="shared" si="86"/>
        <v>10830.97</v>
      </c>
      <c r="Y347" s="392">
        <f t="shared" si="86"/>
        <v>0</v>
      </c>
      <c r="AA347" s="392">
        <f t="shared" si="87"/>
        <v>0</v>
      </c>
      <c r="AB347" s="392">
        <f t="shared" si="87"/>
        <v>0</v>
      </c>
      <c r="AC347" s="392">
        <f t="shared" si="87"/>
        <v>0</v>
      </c>
      <c r="AD347" s="392">
        <f t="shared" si="87"/>
        <v>0</v>
      </c>
      <c r="AE347" s="392">
        <f t="shared" si="87"/>
        <v>0</v>
      </c>
      <c r="AG347" s="409">
        <f t="shared" si="85"/>
        <v>0</v>
      </c>
      <c r="AH347" s="409">
        <f t="shared" si="85"/>
        <v>0</v>
      </c>
      <c r="AI347" s="409">
        <f t="shared" si="85"/>
        <v>0</v>
      </c>
      <c r="AJ347" s="409">
        <f t="shared" si="85"/>
        <v>1</v>
      </c>
      <c r="AK347" s="409">
        <f t="shared" si="85"/>
        <v>0</v>
      </c>
      <c r="AN347" s="391">
        <v>10830.97</v>
      </c>
      <c r="AO347" s="423">
        <f t="shared" si="80"/>
        <v>0</v>
      </c>
    </row>
    <row r="348" spans="1:41">
      <c r="A348" s="391" t="s">
        <v>632</v>
      </c>
      <c r="B348" s="408">
        <v>39157</v>
      </c>
      <c r="C348" s="391" t="s">
        <v>1204</v>
      </c>
      <c r="D348" s="391" t="s">
        <v>1210</v>
      </c>
      <c r="E348" s="391" t="s">
        <v>539</v>
      </c>
      <c r="F348" s="391" t="s">
        <v>540</v>
      </c>
      <c r="G348" s="391">
        <v>5</v>
      </c>
      <c r="H348" s="392">
        <v>0</v>
      </c>
      <c r="I348" s="392">
        <v>0</v>
      </c>
      <c r="J348" s="392">
        <v>0</v>
      </c>
      <c r="K348" s="391" t="s">
        <v>515</v>
      </c>
      <c r="L348" s="391" t="s">
        <v>515</v>
      </c>
      <c r="O348" s="392">
        <f t="shared" ref="O348:S360" si="89">IF(O$8=$K348,$H348,0)</f>
        <v>0</v>
      </c>
      <c r="P348" s="392">
        <f t="shared" si="89"/>
        <v>0</v>
      </c>
      <c r="Q348" s="392">
        <f t="shared" si="89"/>
        <v>0</v>
      </c>
      <c r="R348" s="392">
        <f t="shared" si="89"/>
        <v>0</v>
      </c>
      <c r="S348" s="392">
        <f t="shared" si="89"/>
        <v>0</v>
      </c>
      <c r="U348" s="392">
        <f t="shared" si="86"/>
        <v>0</v>
      </c>
      <c r="V348" s="392">
        <f t="shared" si="86"/>
        <v>0</v>
      </c>
      <c r="W348" s="392">
        <f t="shared" si="86"/>
        <v>0</v>
      </c>
      <c r="X348" s="392">
        <f t="shared" si="86"/>
        <v>0</v>
      </c>
      <c r="Y348" s="392">
        <f t="shared" si="86"/>
        <v>0</v>
      </c>
      <c r="AA348" s="392">
        <f t="shared" si="87"/>
        <v>0</v>
      </c>
      <c r="AB348" s="392">
        <f t="shared" si="87"/>
        <v>0</v>
      </c>
      <c r="AC348" s="392">
        <f t="shared" si="87"/>
        <v>0</v>
      </c>
      <c r="AD348" s="392">
        <f t="shared" si="87"/>
        <v>0</v>
      </c>
      <c r="AE348" s="392">
        <f t="shared" si="87"/>
        <v>0</v>
      </c>
      <c r="AG348" s="409">
        <f t="shared" si="85"/>
        <v>0</v>
      </c>
      <c r="AH348" s="409">
        <f t="shared" si="85"/>
        <v>0</v>
      </c>
      <c r="AI348" s="409">
        <f t="shared" si="85"/>
        <v>0</v>
      </c>
      <c r="AJ348" s="409">
        <f t="shared" si="85"/>
        <v>0</v>
      </c>
      <c r="AK348" s="409">
        <f t="shared" si="85"/>
        <v>0</v>
      </c>
      <c r="AN348" s="391">
        <v>0</v>
      </c>
      <c r="AO348" s="423">
        <f t="shared" si="80"/>
        <v>0</v>
      </c>
    </row>
    <row r="349" spans="1:41">
      <c r="A349" s="391" t="s">
        <v>632</v>
      </c>
      <c r="B349" s="408">
        <v>39171</v>
      </c>
      <c r="C349" s="391" t="s">
        <v>1211</v>
      </c>
      <c r="D349" s="391" t="s">
        <v>1212</v>
      </c>
      <c r="E349" s="391" t="s">
        <v>539</v>
      </c>
      <c r="F349" s="391" t="s">
        <v>540</v>
      </c>
      <c r="G349" s="391">
        <v>5</v>
      </c>
      <c r="H349" s="392">
        <v>2273.7800000000002</v>
      </c>
      <c r="I349" s="392">
        <v>2273.7800000000002</v>
      </c>
      <c r="J349" s="392">
        <v>0</v>
      </c>
      <c r="K349" s="391" t="s">
        <v>515</v>
      </c>
      <c r="L349" s="391" t="s">
        <v>515</v>
      </c>
      <c r="O349" s="392">
        <f t="shared" si="89"/>
        <v>0</v>
      </c>
      <c r="P349" s="392">
        <f t="shared" si="89"/>
        <v>0</v>
      </c>
      <c r="Q349" s="392">
        <f t="shared" si="89"/>
        <v>0</v>
      </c>
      <c r="R349" s="392">
        <f t="shared" si="89"/>
        <v>2273.7800000000002</v>
      </c>
      <c r="S349" s="392">
        <f t="shared" si="89"/>
        <v>0</v>
      </c>
      <c r="U349" s="392">
        <f t="shared" si="86"/>
        <v>0</v>
      </c>
      <c r="V349" s="392">
        <f t="shared" si="86"/>
        <v>0</v>
      </c>
      <c r="W349" s="392">
        <f t="shared" si="86"/>
        <v>0</v>
      </c>
      <c r="X349" s="392">
        <f t="shared" si="86"/>
        <v>2273.7800000000002</v>
      </c>
      <c r="Y349" s="392">
        <f t="shared" si="86"/>
        <v>0</v>
      </c>
      <c r="AA349" s="392">
        <f t="shared" si="87"/>
        <v>0</v>
      </c>
      <c r="AB349" s="392">
        <f t="shared" si="87"/>
        <v>0</v>
      </c>
      <c r="AC349" s="392">
        <f t="shared" si="87"/>
        <v>0</v>
      </c>
      <c r="AD349" s="392">
        <f t="shared" si="87"/>
        <v>0</v>
      </c>
      <c r="AE349" s="392">
        <f t="shared" si="87"/>
        <v>0</v>
      </c>
      <c r="AG349" s="409">
        <f t="shared" si="85"/>
        <v>0</v>
      </c>
      <c r="AH349" s="409">
        <f t="shared" si="85"/>
        <v>0</v>
      </c>
      <c r="AI349" s="409">
        <f t="shared" si="85"/>
        <v>0</v>
      </c>
      <c r="AJ349" s="409">
        <f t="shared" si="85"/>
        <v>1</v>
      </c>
      <c r="AK349" s="409">
        <f t="shared" si="85"/>
        <v>0</v>
      </c>
      <c r="AN349" s="391">
        <v>2273.7800000000002</v>
      </c>
      <c r="AO349" s="423">
        <f t="shared" si="80"/>
        <v>0</v>
      </c>
    </row>
    <row r="350" spans="1:41">
      <c r="A350" s="391" t="s">
        <v>632</v>
      </c>
      <c r="B350" s="408">
        <v>39185</v>
      </c>
      <c r="C350" s="391" t="s">
        <v>1213</v>
      </c>
      <c r="D350" s="391" t="s">
        <v>1214</v>
      </c>
      <c r="E350" s="391" t="s">
        <v>539</v>
      </c>
      <c r="F350" s="391" t="s">
        <v>540</v>
      </c>
      <c r="G350" s="391">
        <v>5</v>
      </c>
      <c r="H350" s="392">
        <v>1685</v>
      </c>
      <c r="I350" s="392">
        <v>1685</v>
      </c>
      <c r="J350" s="392">
        <v>0</v>
      </c>
      <c r="K350" s="391" t="s">
        <v>515</v>
      </c>
      <c r="L350" s="391" t="s">
        <v>515</v>
      </c>
      <c r="O350" s="392">
        <f t="shared" si="89"/>
        <v>0</v>
      </c>
      <c r="P350" s="392">
        <f t="shared" si="89"/>
        <v>0</v>
      </c>
      <c r="Q350" s="392">
        <f t="shared" si="89"/>
        <v>0</v>
      </c>
      <c r="R350" s="392">
        <f t="shared" si="89"/>
        <v>1685</v>
      </c>
      <c r="S350" s="392">
        <f t="shared" si="89"/>
        <v>0</v>
      </c>
      <c r="U350" s="392">
        <f t="shared" si="86"/>
        <v>0</v>
      </c>
      <c r="V350" s="392">
        <f t="shared" si="86"/>
        <v>0</v>
      </c>
      <c r="W350" s="392">
        <f t="shared" si="86"/>
        <v>0</v>
      </c>
      <c r="X350" s="392">
        <f t="shared" si="86"/>
        <v>1685</v>
      </c>
      <c r="Y350" s="392">
        <f t="shared" si="86"/>
        <v>0</v>
      </c>
      <c r="AA350" s="392">
        <f t="shared" si="87"/>
        <v>0</v>
      </c>
      <c r="AB350" s="392">
        <f t="shared" si="87"/>
        <v>0</v>
      </c>
      <c r="AC350" s="392">
        <f t="shared" si="87"/>
        <v>0</v>
      </c>
      <c r="AD350" s="392">
        <f t="shared" si="87"/>
        <v>0</v>
      </c>
      <c r="AE350" s="392">
        <f t="shared" si="87"/>
        <v>0</v>
      </c>
      <c r="AG350" s="409">
        <f t="shared" si="85"/>
        <v>0</v>
      </c>
      <c r="AH350" s="409">
        <f t="shared" si="85"/>
        <v>0</v>
      </c>
      <c r="AI350" s="409">
        <f t="shared" si="85"/>
        <v>0</v>
      </c>
      <c r="AJ350" s="409">
        <f t="shared" si="85"/>
        <v>1</v>
      </c>
      <c r="AK350" s="409">
        <f t="shared" si="85"/>
        <v>0</v>
      </c>
      <c r="AN350" s="391">
        <v>1685</v>
      </c>
      <c r="AO350" s="423">
        <f t="shared" si="80"/>
        <v>0</v>
      </c>
    </row>
    <row r="351" spans="1:41">
      <c r="A351" s="391" t="s">
        <v>632</v>
      </c>
      <c r="B351" s="408">
        <v>39185</v>
      </c>
      <c r="C351" s="391" t="s">
        <v>1215</v>
      </c>
      <c r="D351" s="391" t="s">
        <v>1216</v>
      </c>
      <c r="E351" s="391" t="s">
        <v>539</v>
      </c>
      <c r="F351" s="391" t="s">
        <v>540</v>
      </c>
      <c r="G351" s="391">
        <v>5</v>
      </c>
      <c r="H351" s="392">
        <v>2340</v>
      </c>
      <c r="I351" s="392">
        <v>2340</v>
      </c>
      <c r="J351" s="392">
        <v>0</v>
      </c>
      <c r="K351" s="391" t="s">
        <v>515</v>
      </c>
      <c r="L351" s="391" t="s">
        <v>515</v>
      </c>
      <c r="O351" s="392">
        <f t="shared" si="89"/>
        <v>0</v>
      </c>
      <c r="P351" s="392">
        <f t="shared" si="89"/>
        <v>0</v>
      </c>
      <c r="Q351" s="392">
        <f t="shared" si="89"/>
        <v>0</v>
      </c>
      <c r="R351" s="392">
        <f t="shared" si="89"/>
        <v>2340</v>
      </c>
      <c r="S351" s="392">
        <f t="shared" si="89"/>
        <v>0</v>
      </c>
      <c r="U351" s="392">
        <f t="shared" si="86"/>
        <v>0</v>
      </c>
      <c r="V351" s="392">
        <f t="shared" si="86"/>
        <v>0</v>
      </c>
      <c r="W351" s="392">
        <f t="shared" si="86"/>
        <v>0</v>
      </c>
      <c r="X351" s="392">
        <f t="shared" si="86"/>
        <v>2340</v>
      </c>
      <c r="Y351" s="392">
        <f t="shared" si="86"/>
        <v>0</v>
      </c>
      <c r="AA351" s="392">
        <f t="shared" si="87"/>
        <v>0</v>
      </c>
      <c r="AB351" s="392">
        <f t="shared" si="87"/>
        <v>0</v>
      </c>
      <c r="AC351" s="392">
        <f t="shared" si="87"/>
        <v>0</v>
      </c>
      <c r="AD351" s="392">
        <f t="shared" si="87"/>
        <v>0</v>
      </c>
      <c r="AE351" s="392">
        <f t="shared" si="87"/>
        <v>0</v>
      </c>
      <c r="AG351" s="409">
        <f t="shared" si="85"/>
        <v>0</v>
      </c>
      <c r="AH351" s="409">
        <f t="shared" si="85"/>
        <v>0</v>
      </c>
      <c r="AI351" s="409">
        <f t="shared" si="85"/>
        <v>0</v>
      </c>
      <c r="AJ351" s="409">
        <f t="shared" si="85"/>
        <v>1</v>
      </c>
      <c r="AK351" s="409">
        <f t="shared" si="85"/>
        <v>0</v>
      </c>
      <c r="AN351" s="391">
        <v>2340</v>
      </c>
      <c r="AO351" s="423">
        <f t="shared" si="80"/>
        <v>0</v>
      </c>
    </row>
    <row r="352" spans="1:41">
      <c r="A352" s="391" t="s">
        <v>982</v>
      </c>
      <c r="B352" s="408">
        <v>39199</v>
      </c>
      <c r="C352" s="391" t="s">
        <v>1217</v>
      </c>
      <c r="D352" s="391" t="s">
        <v>1218</v>
      </c>
      <c r="E352" s="391" t="s">
        <v>539</v>
      </c>
      <c r="F352" s="391" t="s">
        <v>540</v>
      </c>
      <c r="G352" s="391">
        <v>5</v>
      </c>
      <c r="H352" s="392">
        <v>25650</v>
      </c>
      <c r="I352" s="392">
        <v>25650</v>
      </c>
      <c r="J352" s="392">
        <v>0</v>
      </c>
      <c r="K352" s="391" t="s">
        <v>515</v>
      </c>
      <c r="L352" s="391" t="s">
        <v>515</v>
      </c>
      <c r="O352" s="392">
        <f t="shared" si="89"/>
        <v>0</v>
      </c>
      <c r="P352" s="392">
        <f t="shared" si="89"/>
        <v>0</v>
      </c>
      <c r="Q352" s="392">
        <f t="shared" si="89"/>
        <v>0</v>
      </c>
      <c r="R352" s="392">
        <f t="shared" si="89"/>
        <v>25650</v>
      </c>
      <c r="S352" s="392">
        <f t="shared" si="89"/>
        <v>0</v>
      </c>
      <c r="U352" s="392">
        <f t="shared" si="86"/>
        <v>0</v>
      </c>
      <c r="V352" s="392">
        <f t="shared" si="86"/>
        <v>0</v>
      </c>
      <c r="W352" s="392">
        <f t="shared" si="86"/>
        <v>0</v>
      </c>
      <c r="X352" s="392">
        <f t="shared" si="86"/>
        <v>25650</v>
      </c>
      <c r="Y352" s="392">
        <f t="shared" si="86"/>
        <v>0</v>
      </c>
      <c r="AA352" s="392">
        <f t="shared" si="87"/>
        <v>0</v>
      </c>
      <c r="AB352" s="392">
        <f t="shared" si="87"/>
        <v>0</v>
      </c>
      <c r="AC352" s="392">
        <f t="shared" si="87"/>
        <v>0</v>
      </c>
      <c r="AD352" s="392">
        <f t="shared" si="87"/>
        <v>0</v>
      </c>
      <c r="AE352" s="392">
        <f t="shared" si="87"/>
        <v>0</v>
      </c>
      <c r="AG352" s="409">
        <f t="shared" si="85"/>
        <v>0</v>
      </c>
      <c r="AH352" s="409">
        <f t="shared" si="85"/>
        <v>0</v>
      </c>
      <c r="AI352" s="409">
        <f t="shared" si="85"/>
        <v>0</v>
      </c>
      <c r="AJ352" s="409">
        <f t="shared" si="85"/>
        <v>1</v>
      </c>
      <c r="AK352" s="409">
        <f t="shared" si="85"/>
        <v>0</v>
      </c>
      <c r="AN352" s="391">
        <v>25650</v>
      </c>
      <c r="AO352" s="423">
        <f t="shared" si="80"/>
        <v>0</v>
      </c>
    </row>
    <row r="353" spans="1:41">
      <c r="A353" s="391" t="s">
        <v>632</v>
      </c>
      <c r="B353" s="408">
        <v>39199</v>
      </c>
      <c r="C353" s="391" t="s">
        <v>1219</v>
      </c>
      <c r="D353" s="391" t="s">
        <v>1220</v>
      </c>
      <c r="E353" s="391" t="s">
        <v>539</v>
      </c>
      <c r="F353" s="391" t="s">
        <v>540</v>
      </c>
      <c r="G353" s="391">
        <v>5</v>
      </c>
      <c r="H353" s="392">
        <v>4316</v>
      </c>
      <c r="I353" s="392">
        <v>4316</v>
      </c>
      <c r="J353" s="392">
        <v>0</v>
      </c>
      <c r="K353" s="391" t="s">
        <v>515</v>
      </c>
      <c r="L353" s="391" t="s">
        <v>515</v>
      </c>
      <c r="O353" s="392">
        <f t="shared" si="89"/>
        <v>0</v>
      </c>
      <c r="P353" s="392">
        <f t="shared" si="89"/>
        <v>0</v>
      </c>
      <c r="Q353" s="392">
        <f t="shared" si="89"/>
        <v>0</v>
      </c>
      <c r="R353" s="392">
        <f t="shared" si="89"/>
        <v>4316</v>
      </c>
      <c r="S353" s="392">
        <f t="shared" si="89"/>
        <v>0</v>
      </c>
      <c r="U353" s="392">
        <f t="shared" si="86"/>
        <v>0</v>
      </c>
      <c r="V353" s="392">
        <f t="shared" si="86"/>
        <v>0</v>
      </c>
      <c r="W353" s="392">
        <f t="shared" si="86"/>
        <v>0</v>
      </c>
      <c r="X353" s="392">
        <f t="shared" si="86"/>
        <v>4316</v>
      </c>
      <c r="Y353" s="392">
        <f t="shared" si="86"/>
        <v>0</v>
      </c>
      <c r="AA353" s="392">
        <f t="shared" si="87"/>
        <v>0</v>
      </c>
      <c r="AB353" s="392">
        <f t="shared" si="87"/>
        <v>0</v>
      </c>
      <c r="AC353" s="392">
        <f t="shared" si="87"/>
        <v>0</v>
      </c>
      <c r="AD353" s="392">
        <f t="shared" si="87"/>
        <v>0</v>
      </c>
      <c r="AE353" s="392">
        <f t="shared" si="87"/>
        <v>0</v>
      </c>
      <c r="AG353" s="409">
        <f t="shared" si="85"/>
        <v>0</v>
      </c>
      <c r="AH353" s="409">
        <f t="shared" si="85"/>
        <v>0</v>
      </c>
      <c r="AI353" s="409">
        <f t="shared" si="85"/>
        <v>0</v>
      </c>
      <c r="AJ353" s="409">
        <f t="shared" si="85"/>
        <v>1</v>
      </c>
      <c r="AK353" s="409">
        <f t="shared" si="85"/>
        <v>0</v>
      </c>
      <c r="AN353" s="391">
        <v>4316</v>
      </c>
      <c r="AO353" s="423">
        <f t="shared" si="80"/>
        <v>0</v>
      </c>
    </row>
    <row r="354" spans="1:41">
      <c r="A354" s="391" t="s">
        <v>632</v>
      </c>
      <c r="B354" s="408">
        <v>39199</v>
      </c>
      <c r="C354" s="391" t="s">
        <v>1221</v>
      </c>
      <c r="D354" s="391" t="s">
        <v>1222</v>
      </c>
      <c r="E354" s="391" t="s">
        <v>539</v>
      </c>
      <c r="F354" s="391" t="s">
        <v>540</v>
      </c>
      <c r="G354" s="391">
        <v>5</v>
      </c>
      <c r="H354" s="392">
        <v>4209.5</v>
      </c>
      <c r="I354" s="392">
        <v>4209.5</v>
      </c>
      <c r="J354" s="392">
        <v>0</v>
      </c>
      <c r="K354" s="391" t="s">
        <v>515</v>
      </c>
      <c r="L354" s="391" t="s">
        <v>515</v>
      </c>
      <c r="O354" s="392">
        <f t="shared" si="89"/>
        <v>0</v>
      </c>
      <c r="P354" s="392">
        <f t="shared" si="89"/>
        <v>0</v>
      </c>
      <c r="Q354" s="392">
        <f t="shared" si="89"/>
        <v>0</v>
      </c>
      <c r="R354" s="392">
        <f t="shared" si="89"/>
        <v>4209.5</v>
      </c>
      <c r="S354" s="392">
        <f t="shared" si="89"/>
        <v>0</v>
      </c>
      <c r="U354" s="392">
        <f t="shared" si="86"/>
        <v>0</v>
      </c>
      <c r="V354" s="392">
        <f t="shared" si="86"/>
        <v>0</v>
      </c>
      <c r="W354" s="392">
        <f t="shared" si="86"/>
        <v>0</v>
      </c>
      <c r="X354" s="392">
        <f t="shared" si="86"/>
        <v>4209.5</v>
      </c>
      <c r="Y354" s="392">
        <f t="shared" si="86"/>
        <v>0</v>
      </c>
      <c r="AA354" s="392">
        <f t="shared" si="87"/>
        <v>0</v>
      </c>
      <c r="AB354" s="392">
        <f t="shared" si="87"/>
        <v>0</v>
      </c>
      <c r="AC354" s="392">
        <f t="shared" si="87"/>
        <v>0</v>
      </c>
      <c r="AD354" s="392">
        <f t="shared" si="87"/>
        <v>0</v>
      </c>
      <c r="AE354" s="392">
        <f t="shared" si="87"/>
        <v>0</v>
      </c>
      <c r="AG354" s="409">
        <f t="shared" si="85"/>
        <v>0</v>
      </c>
      <c r="AH354" s="409">
        <f t="shared" si="85"/>
        <v>0</v>
      </c>
      <c r="AI354" s="409">
        <f t="shared" si="85"/>
        <v>0</v>
      </c>
      <c r="AJ354" s="409">
        <f t="shared" si="85"/>
        <v>1</v>
      </c>
      <c r="AK354" s="409">
        <f t="shared" si="85"/>
        <v>0</v>
      </c>
      <c r="AN354" s="391">
        <v>4209.5</v>
      </c>
      <c r="AO354" s="423">
        <f t="shared" si="80"/>
        <v>0</v>
      </c>
    </row>
    <row r="355" spans="1:41">
      <c r="A355" s="391" t="s">
        <v>632</v>
      </c>
      <c r="B355" s="408">
        <v>39199</v>
      </c>
      <c r="C355" s="391" t="s">
        <v>1223</v>
      </c>
      <c r="D355" s="391" t="s">
        <v>1224</v>
      </c>
      <c r="E355" s="391" t="s">
        <v>539</v>
      </c>
      <c r="F355" s="391" t="s">
        <v>540</v>
      </c>
      <c r="G355" s="391">
        <v>5</v>
      </c>
      <c r="H355" s="392">
        <v>2669</v>
      </c>
      <c r="I355" s="392">
        <v>2669</v>
      </c>
      <c r="J355" s="392">
        <v>0</v>
      </c>
      <c r="K355" s="391" t="s">
        <v>515</v>
      </c>
      <c r="L355" s="391" t="s">
        <v>515</v>
      </c>
      <c r="O355" s="392">
        <f t="shared" si="89"/>
        <v>0</v>
      </c>
      <c r="P355" s="392">
        <f t="shared" si="89"/>
        <v>0</v>
      </c>
      <c r="Q355" s="392">
        <f t="shared" si="89"/>
        <v>0</v>
      </c>
      <c r="R355" s="392">
        <f t="shared" si="89"/>
        <v>2669</v>
      </c>
      <c r="S355" s="392">
        <f t="shared" si="89"/>
        <v>0</v>
      </c>
      <c r="U355" s="392">
        <f t="shared" si="86"/>
        <v>0</v>
      </c>
      <c r="V355" s="392">
        <f t="shared" si="86"/>
        <v>0</v>
      </c>
      <c r="W355" s="392">
        <f t="shared" si="86"/>
        <v>0</v>
      </c>
      <c r="X355" s="392">
        <f t="shared" si="86"/>
        <v>2669</v>
      </c>
      <c r="Y355" s="392">
        <f t="shared" si="86"/>
        <v>0</v>
      </c>
      <c r="AA355" s="392">
        <f t="shared" si="87"/>
        <v>0</v>
      </c>
      <c r="AB355" s="392">
        <f t="shared" si="87"/>
        <v>0</v>
      </c>
      <c r="AC355" s="392">
        <f t="shared" si="87"/>
        <v>0</v>
      </c>
      <c r="AD355" s="392">
        <f t="shared" si="87"/>
        <v>0</v>
      </c>
      <c r="AE355" s="392">
        <f t="shared" si="87"/>
        <v>0</v>
      </c>
      <c r="AG355" s="409">
        <f t="shared" si="85"/>
        <v>0</v>
      </c>
      <c r="AH355" s="409">
        <f t="shared" si="85"/>
        <v>0</v>
      </c>
      <c r="AI355" s="409">
        <f t="shared" si="85"/>
        <v>0</v>
      </c>
      <c r="AJ355" s="409">
        <f t="shared" si="85"/>
        <v>1</v>
      </c>
      <c r="AK355" s="409">
        <f t="shared" si="85"/>
        <v>0</v>
      </c>
      <c r="AN355" s="391">
        <v>2669</v>
      </c>
      <c r="AO355" s="423">
        <f t="shared" si="80"/>
        <v>0</v>
      </c>
    </row>
    <row r="356" spans="1:41">
      <c r="A356" s="391" t="s">
        <v>632</v>
      </c>
      <c r="B356" s="408">
        <v>39199</v>
      </c>
      <c r="C356" s="391" t="s">
        <v>1225</v>
      </c>
      <c r="D356" s="391" t="s">
        <v>1226</v>
      </c>
      <c r="E356" s="391" t="s">
        <v>539</v>
      </c>
      <c r="F356" s="391" t="s">
        <v>540</v>
      </c>
      <c r="G356" s="391">
        <v>5</v>
      </c>
      <c r="H356" s="392">
        <v>0</v>
      </c>
      <c r="I356" s="392">
        <v>0</v>
      </c>
      <c r="J356" s="392">
        <v>0</v>
      </c>
      <c r="K356" s="391" t="s">
        <v>515</v>
      </c>
      <c r="L356" s="391" t="s">
        <v>515</v>
      </c>
      <c r="O356" s="392">
        <f t="shared" si="89"/>
        <v>0</v>
      </c>
      <c r="P356" s="392">
        <f t="shared" si="89"/>
        <v>0</v>
      </c>
      <c r="Q356" s="392">
        <f t="shared" si="89"/>
        <v>0</v>
      </c>
      <c r="R356" s="392">
        <f t="shared" si="89"/>
        <v>0</v>
      </c>
      <c r="S356" s="392">
        <f t="shared" si="89"/>
        <v>0</v>
      </c>
      <c r="U356" s="392">
        <f t="shared" si="86"/>
        <v>0</v>
      </c>
      <c r="V356" s="392">
        <f t="shared" si="86"/>
        <v>0</v>
      </c>
      <c r="W356" s="392">
        <f t="shared" si="86"/>
        <v>0</v>
      </c>
      <c r="X356" s="392">
        <f t="shared" si="86"/>
        <v>0</v>
      </c>
      <c r="Y356" s="392">
        <f t="shared" si="86"/>
        <v>0</v>
      </c>
      <c r="AA356" s="392">
        <f t="shared" si="87"/>
        <v>0</v>
      </c>
      <c r="AB356" s="392">
        <f t="shared" si="87"/>
        <v>0</v>
      </c>
      <c r="AC356" s="392">
        <f t="shared" si="87"/>
        <v>0</v>
      </c>
      <c r="AD356" s="392">
        <f t="shared" si="87"/>
        <v>0</v>
      </c>
      <c r="AE356" s="392">
        <f t="shared" si="87"/>
        <v>0</v>
      </c>
      <c r="AG356" s="409">
        <f t="shared" si="85"/>
        <v>0</v>
      </c>
      <c r="AH356" s="409">
        <f t="shared" si="85"/>
        <v>0</v>
      </c>
      <c r="AI356" s="409">
        <f t="shared" si="85"/>
        <v>0</v>
      </c>
      <c r="AJ356" s="409">
        <f t="shared" si="85"/>
        <v>0</v>
      </c>
      <c r="AK356" s="409">
        <f t="shared" si="85"/>
        <v>0</v>
      </c>
      <c r="AN356" s="391">
        <v>0</v>
      </c>
      <c r="AO356" s="423">
        <f t="shared" si="80"/>
        <v>0</v>
      </c>
    </row>
    <row r="357" spans="1:41">
      <c r="A357" s="391" t="s">
        <v>682</v>
      </c>
      <c r="B357" s="408">
        <v>39199</v>
      </c>
      <c r="C357" s="391" t="s">
        <v>1227</v>
      </c>
      <c r="D357" s="391" t="s">
        <v>1228</v>
      </c>
      <c r="E357" s="391" t="s">
        <v>539</v>
      </c>
      <c r="F357" s="391" t="s">
        <v>540</v>
      </c>
      <c r="G357" s="391">
        <v>5</v>
      </c>
      <c r="H357" s="392">
        <v>2753</v>
      </c>
      <c r="I357" s="392">
        <v>2753</v>
      </c>
      <c r="J357" s="392">
        <v>0</v>
      </c>
      <c r="K357" s="391" t="s">
        <v>515</v>
      </c>
      <c r="L357" s="391" t="s">
        <v>515</v>
      </c>
      <c r="O357" s="392">
        <f t="shared" si="89"/>
        <v>0</v>
      </c>
      <c r="P357" s="392">
        <f t="shared" si="89"/>
        <v>0</v>
      </c>
      <c r="Q357" s="392">
        <f t="shared" si="89"/>
        <v>0</v>
      </c>
      <c r="R357" s="392">
        <f t="shared" si="89"/>
        <v>2753</v>
      </c>
      <c r="S357" s="392">
        <f t="shared" si="89"/>
        <v>0</v>
      </c>
      <c r="U357" s="392">
        <f t="shared" si="86"/>
        <v>0</v>
      </c>
      <c r="V357" s="392">
        <f t="shared" si="86"/>
        <v>0</v>
      </c>
      <c r="W357" s="392">
        <f t="shared" si="86"/>
        <v>0</v>
      </c>
      <c r="X357" s="392">
        <f t="shared" si="86"/>
        <v>2753</v>
      </c>
      <c r="Y357" s="392">
        <f t="shared" si="86"/>
        <v>0</v>
      </c>
      <c r="AA357" s="392">
        <f t="shared" si="87"/>
        <v>0</v>
      </c>
      <c r="AB357" s="392">
        <f t="shared" si="87"/>
        <v>0</v>
      </c>
      <c r="AC357" s="392">
        <f t="shared" si="87"/>
        <v>0</v>
      </c>
      <c r="AD357" s="392">
        <f t="shared" si="87"/>
        <v>0</v>
      </c>
      <c r="AE357" s="392">
        <f t="shared" si="87"/>
        <v>0</v>
      </c>
      <c r="AG357" s="409">
        <f t="shared" si="85"/>
        <v>0</v>
      </c>
      <c r="AH357" s="409">
        <f t="shared" si="85"/>
        <v>0</v>
      </c>
      <c r="AI357" s="409">
        <f t="shared" si="85"/>
        <v>0</v>
      </c>
      <c r="AJ357" s="409">
        <f t="shared" si="85"/>
        <v>1</v>
      </c>
      <c r="AK357" s="409">
        <f t="shared" si="85"/>
        <v>0</v>
      </c>
      <c r="AN357" s="391">
        <v>2753</v>
      </c>
      <c r="AO357" s="423">
        <f t="shared" si="80"/>
        <v>0</v>
      </c>
    </row>
    <row r="358" spans="1:41">
      <c r="A358" s="391" t="s">
        <v>538</v>
      </c>
      <c r="B358" s="408">
        <v>39202</v>
      </c>
      <c r="C358" s="391" t="s">
        <v>1229</v>
      </c>
      <c r="D358" s="391" t="s">
        <v>1230</v>
      </c>
      <c r="E358" s="391" t="s">
        <v>539</v>
      </c>
      <c r="F358" s="391" t="s">
        <v>540</v>
      </c>
      <c r="G358" s="391">
        <v>20</v>
      </c>
      <c r="H358" s="392">
        <v>45511.5</v>
      </c>
      <c r="I358" s="392">
        <v>20480.2</v>
      </c>
      <c r="J358" s="392">
        <v>2275.58</v>
      </c>
      <c r="K358" s="391" t="s">
        <v>45</v>
      </c>
      <c r="L358" s="391" t="s">
        <v>45</v>
      </c>
      <c r="M358" s="391" t="s">
        <v>1165</v>
      </c>
      <c r="O358" s="392">
        <f t="shared" si="89"/>
        <v>0</v>
      </c>
      <c r="P358" s="392">
        <f t="shared" si="89"/>
        <v>45511.5</v>
      </c>
      <c r="Q358" s="392">
        <f t="shared" si="89"/>
        <v>0</v>
      </c>
      <c r="R358" s="392">
        <f t="shared" si="89"/>
        <v>0</v>
      </c>
      <c r="S358" s="392">
        <f t="shared" si="89"/>
        <v>0</v>
      </c>
      <c r="U358" s="392">
        <f t="shared" si="86"/>
        <v>0</v>
      </c>
      <c r="V358" s="392">
        <f t="shared" si="86"/>
        <v>20480.2</v>
      </c>
      <c r="W358" s="392">
        <f t="shared" si="86"/>
        <v>0</v>
      </c>
      <c r="X358" s="392">
        <f t="shared" si="86"/>
        <v>0</v>
      </c>
      <c r="Y358" s="392">
        <f t="shared" si="86"/>
        <v>0</v>
      </c>
      <c r="AA358" s="392">
        <f t="shared" si="87"/>
        <v>0</v>
      </c>
      <c r="AB358" s="392">
        <f t="shared" si="87"/>
        <v>2275.58</v>
      </c>
      <c r="AC358" s="392">
        <f t="shared" si="87"/>
        <v>0</v>
      </c>
      <c r="AD358" s="392">
        <f t="shared" si="87"/>
        <v>0</v>
      </c>
      <c r="AE358" s="392">
        <f t="shared" si="87"/>
        <v>0</v>
      </c>
      <c r="AG358" s="409">
        <f t="shared" si="85"/>
        <v>0</v>
      </c>
      <c r="AH358" s="409">
        <f t="shared" si="85"/>
        <v>1</v>
      </c>
      <c r="AI358" s="409">
        <f t="shared" si="85"/>
        <v>0</v>
      </c>
      <c r="AJ358" s="409">
        <f t="shared" si="85"/>
        <v>0</v>
      </c>
      <c r="AK358" s="409">
        <f t="shared" si="85"/>
        <v>0</v>
      </c>
      <c r="AN358" s="391">
        <v>45511.5</v>
      </c>
      <c r="AO358" s="423">
        <f t="shared" si="80"/>
        <v>0</v>
      </c>
    </row>
    <row r="359" spans="1:41">
      <c r="A359" s="391" t="s">
        <v>567</v>
      </c>
      <c r="B359" s="408">
        <v>39202</v>
      </c>
      <c r="C359" s="391" t="s">
        <v>1231</v>
      </c>
      <c r="D359" s="391" t="s">
        <v>1232</v>
      </c>
      <c r="E359" s="391" t="s">
        <v>539</v>
      </c>
      <c r="F359" s="391" t="s">
        <v>540</v>
      </c>
      <c r="G359" s="391">
        <v>30</v>
      </c>
      <c r="H359" s="392">
        <v>131984.06</v>
      </c>
      <c r="I359" s="392">
        <v>39595.230000000003</v>
      </c>
      <c r="J359" s="392">
        <v>4399.47</v>
      </c>
      <c r="K359" s="391" t="s">
        <v>505</v>
      </c>
      <c r="L359" s="391" t="s">
        <v>505</v>
      </c>
      <c r="O359" s="392">
        <f t="shared" si="89"/>
        <v>0</v>
      </c>
      <c r="P359" s="392">
        <f t="shared" si="89"/>
        <v>0</v>
      </c>
      <c r="Q359" s="392">
        <f t="shared" si="89"/>
        <v>131984.06</v>
      </c>
      <c r="R359" s="392">
        <f t="shared" si="89"/>
        <v>0</v>
      </c>
      <c r="S359" s="392">
        <f t="shared" si="89"/>
        <v>0</v>
      </c>
      <c r="U359" s="392">
        <f t="shared" si="86"/>
        <v>0</v>
      </c>
      <c r="V359" s="392">
        <f t="shared" si="86"/>
        <v>0</v>
      </c>
      <c r="W359" s="392">
        <f t="shared" si="86"/>
        <v>39595.230000000003</v>
      </c>
      <c r="X359" s="392">
        <f t="shared" si="86"/>
        <v>0</v>
      </c>
      <c r="Y359" s="392">
        <f t="shared" si="86"/>
        <v>0</v>
      </c>
      <c r="AA359" s="392">
        <f t="shared" si="87"/>
        <v>0</v>
      </c>
      <c r="AB359" s="392">
        <f t="shared" si="87"/>
        <v>0</v>
      </c>
      <c r="AC359" s="392">
        <f t="shared" si="87"/>
        <v>4399.47</v>
      </c>
      <c r="AD359" s="392">
        <f t="shared" si="87"/>
        <v>0</v>
      </c>
      <c r="AE359" s="392">
        <f t="shared" si="87"/>
        <v>0</v>
      </c>
      <c r="AG359" s="409">
        <f t="shared" si="85"/>
        <v>0</v>
      </c>
      <c r="AH359" s="409">
        <f t="shared" si="85"/>
        <v>0</v>
      </c>
      <c r="AI359" s="409">
        <f t="shared" si="85"/>
        <v>1</v>
      </c>
      <c r="AJ359" s="409">
        <f t="shared" si="85"/>
        <v>0</v>
      </c>
      <c r="AK359" s="409">
        <f t="shared" si="85"/>
        <v>0</v>
      </c>
      <c r="AN359" s="391">
        <v>131984.06</v>
      </c>
      <c r="AO359" s="423">
        <f t="shared" si="80"/>
        <v>0</v>
      </c>
    </row>
    <row r="360" spans="1:41">
      <c r="A360" s="391" t="s">
        <v>616</v>
      </c>
      <c r="B360" s="408">
        <v>39202</v>
      </c>
      <c r="C360" s="391" t="s">
        <v>1233</v>
      </c>
      <c r="D360" s="391" t="s">
        <v>1234</v>
      </c>
      <c r="E360" s="391" t="s">
        <v>539</v>
      </c>
      <c r="F360" s="391" t="s">
        <v>540</v>
      </c>
      <c r="G360" s="391">
        <v>25</v>
      </c>
      <c r="H360" s="392">
        <v>42021.8</v>
      </c>
      <c r="I360" s="392">
        <v>15127.829999999998</v>
      </c>
      <c r="J360" s="392">
        <v>1680.87</v>
      </c>
      <c r="K360" s="391" t="s">
        <v>505</v>
      </c>
      <c r="L360" s="391" t="s">
        <v>505</v>
      </c>
      <c r="O360" s="392">
        <f t="shared" si="89"/>
        <v>0</v>
      </c>
      <c r="P360" s="392">
        <f t="shared" si="89"/>
        <v>0</v>
      </c>
      <c r="Q360" s="392">
        <f t="shared" si="89"/>
        <v>42021.8</v>
      </c>
      <c r="R360" s="392">
        <f t="shared" si="89"/>
        <v>0</v>
      </c>
      <c r="S360" s="392">
        <f t="shared" si="89"/>
        <v>0</v>
      </c>
      <c r="U360" s="392">
        <f t="shared" si="86"/>
        <v>0</v>
      </c>
      <c r="V360" s="392">
        <f t="shared" si="86"/>
        <v>0</v>
      </c>
      <c r="W360" s="392">
        <f t="shared" si="86"/>
        <v>15127.829999999998</v>
      </c>
      <c r="X360" s="392">
        <f t="shared" si="86"/>
        <v>0</v>
      </c>
      <c r="Y360" s="392">
        <f t="shared" si="86"/>
        <v>0</v>
      </c>
      <c r="AA360" s="392">
        <f t="shared" si="87"/>
        <v>0</v>
      </c>
      <c r="AB360" s="392">
        <f t="shared" si="87"/>
        <v>0</v>
      </c>
      <c r="AC360" s="392">
        <f t="shared" si="87"/>
        <v>1680.87</v>
      </c>
      <c r="AD360" s="392">
        <f t="shared" si="87"/>
        <v>0</v>
      </c>
      <c r="AE360" s="392">
        <f t="shared" si="87"/>
        <v>0</v>
      </c>
      <c r="AG360" s="409">
        <f t="shared" si="85"/>
        <v>0</v>
      </c>
      <c r="AH360" s="409">
        <f t="shared" si="85"/>
        <v>0</v>
      </c>
      <c r="AI360" s="409">
        <f t="shared" si="85"/>
        <v>1</v>
      </c>
      <c r="AJ360" s="409">
        <f t="shared" si="85"/>
        <v>0</v>
      </c>
      <c r="AK360" s="409">
        <f t="shared" si="85"/>
        <v>0</v>
      </c>
      <c r="AN360" s="391">
        <v>42021.8</v>
      </c>
      <c r="AO360" s="423">
        <f t="shared" si="80"/>
        <v>0</v>
      </c>
    </row>
    <row r="361" spans="1:41">
      <c r="A361" s="391" t="s">
        <v>585</v>
      </c>
      <c r="B361" s="408">
        <v>39202</v>
      </c>
      <c r="C361" s="391" t="s">
        <v>1235</v>
      </c>
      <c r="D361" s="391" t="s">
        <v>1236</v>
      </c>
      <c r="E361" s="391" t="s">
        <v>539</v>
      </c>
      <c r="F361" s="391" t="s">
        <v>540</v>
      </c>
      <c r="G361" s="391">
        <v>30</v>
      </c>
      <c r="H361" s="392">
        <v>305222.94</v>
      </c>
      <c r="I361" s="392">
        <v>91566.900000000009</v>
      </c>
      <c r="J361" s="392">
        <v>10174.1</v>
      </c>
      <c r="K361" s="391" t="s">
        <v>505</v>
      </c>
      <c r="L361" s="391" t="s">
        <v>778</v>
      </c>
      <c r="O361" s="392">
        <f>$H361*AG361</f>
        <v>0</v>
      </c>
      <c r="P361" s="392">
        <f>$H361*AH361</f>
        <v>0</v>
      </c>
      <c r="Q361" s="392">
        <f>$H361*AI361</f>
        <v>305222.94</v>
      </c>
      <c r="R361" s="392">
        <f>$H361*AJ361</f>
        <v>0</v>
      </c>
      <c r="S361" s="392">
        <f>$H361*AK361</f>
        <v>0</v>
      </c>
      <c r="U361" s="392">
        <f t="shared" si="86"/>
        <v>0</v>
      </c>
      <c r="V361" s="392">
        <f t="shared" si="86"/>
        <v>0</v>
      </c>
      <c r="W361" s="392">
        <f t="shared" si="86"/>
        <v>91566.900000000009</v>
      </c>
      <c r="X361" s="392">
        <f t="shared" si="86"/>
        <v>0</v>
      </c>
      <c r="Y361" s="392">
        <f t="shared" si="86"/>
        <v>0</v>
      </c>
      <c r="AA361" s="392">
        <f t="shared" si="87"/>
        <v>0</v>
      </c>
      <c r="AB361" s="392">
        <f t="shared" si="87"/>
        <v>0</v>
      </c>
      <c r="AC361" s="392">
        <f t="shared" si="87"/>
        <v>10174.1</v>
      </c>
      <c r="AD361" s="392">
        <f t="shared" si="87"/>
        <v>0</v>
      </c>
      <c r="AE361" s="392">
        <f t="shared" si="87"/>
        <v>0</v>
      </c>
      <c r="AG361" s="409">
        <v>0</v>
      </c>
      <c r="AH361" s="409">
        <v>0</v>
      </c>
      <c r="AI361" s="410">
        <v>1</v>
      </c>
      <c r="AJ361" s="409">
        <v>0</v>
      </c>
      <c r="AK361" s="409">
        <v>0</v>
      </c>
      <c r="AN361" s="391">
        <v>305222.94</v>
      </c>
      <c r="AO361" s="423">
        <f t="shared" si="80"/>
        <v>0</v>
      </c>
    </row>
    <row r="362" spans="1:41">
      <c r="A362" s="391" t="s">
        <v>585</v>
      </c>
      <c r="B362" s="408">
        <v>39202</v>
      </c>
      <c r="C362" s="391" t="s">
        <v>1237</v>
      </c>
      <c r="D362" s="391" t="s">
        <v>1238</v>
      </c>
      <c r="E362" s="391" t="s">
        <v>539</v>
      </c>
      <c r="F362" s="391" t="s">
        <v>540</v>
      </c>
      <c r="G362" s="391">
        <v>30</v>
      </c>
      <c r="H362" s="392">
        <v>1539642.71</v>
      </c>
      <c r="I362" s="392">
        <v>461892.79</v>
      </c>
      <c r="J362" s="392">
        <v>51321.42</v>
      </c>
      <c r="K362" s="391" t="s">
        <v>516</v>
      </c>
      <c r="L362" s="391" t="s">
        <v>516</v>
      </c>
      <c r="M362" s="391" t="s">
        <v>1239</v>
      </c>
      <c r="O362" s="414">
        <v>0</v>
      </c>
      <c r="P362" s="414">
        <v>534939</v>
      </c>
      <c r="Q362" s="414">
        <v>1004704</v>
      </c>
      <c r="R362" s="414">
        <v>0</v>
      </c>
      <c r="S362" s="414">
        <v>0</v>
      </c>
      <c r="T362" s="414"/>
      <c r="U362" s="392">
        <f t="shared" si="86"/>
        <v>0</v>
      </c>
      <c r="V362" s="392">
        <f t="shared" si="86"/>
        <v>160481.69200879728</v>
      </c>
      <c r="W362" s="392">
        <f t="shared" si="86"/>
        <v>301411.18499119836</v>
      </c>
      <c r="X362" s="392">
        <f t="shared" si="86"/>
        <v>0</v>
      </c>
      <c r="Y362" s="392">
        <f t="shared" si="86"/>
        <v>0</v>
      </c>
      <c r="AA362" s="392">
        <f t="shared" si="87"/>
        <v>0</v>
      </c>
      <c r="AB362" s="392">
        <f t="shared" si="87"/>
        <v>17831.29872604015</v>
      </c>
      <c r="AC362" s="392">
        <f t="shared" si="87"/>
        <v>33490.13094062583</v>
      </c>
      <c r="AD362" s="392">
        <f t="shared" si="87"/>
        <v>0</v>
      </c>
      <c r="AE362" s="392">
        <f t="shared" si="87"/>
        <v>0</v>
      </c>
      <c r="AG362" s="409">
        <f>O362/$H362</f>
        <v>0</v>
      </c>
      <c r="AH362" s="409">
        <f>P362/$H362</f>
        <v>0.34744359618342885</v>
      </c>
      <c r="AI362" s="409">
        <f>Q362/$H362</f>
        <v>0.65255659217195916</v>
      </c>
      <c r="AJ362" s="409">
        <f>R362/$H362</f>
        <v>0</v>
      </c>
      <c r="AK362" s="409">
        <f>S362/$H362</f>
        <v>0</v>
      </c>
      <c r="AN362" s="391">
        <v>1539642.71</v>
      </c>
      <c r="AO362" s="423">
        <f t="shared" si="80"/>
        <v>0</v>
      </c>
    </row>
    <row r="363" spans="1:41">
      <c r="A363" s="391" t="s">
        <v>572</v>
      </c>
      <c r="B363" s="408">
        <v>39202</v>
      </c>
      <c r="C363" s="391" t="s">
        <v>1240</v>
      </c>
      <c r="D363" s="391" t="s">
        <v>1241</v>
      </c>
      <c r="E363" s="391" t="s">
        <v>539</v>
      </c>
      <c r="F363" s="391" t="s">
        <v>540</v>
      </c>
      <c r="G363" s="391">
        <v>30</v>
      </c>
      <c r="H363" s="392">
        <v>553018.19999999995</v>
      </c>
      <c r="I363" s="392">
        <v>165905.46</v>
      </c>
      <c r="J363" s="392">
        <v>18433.939999999999</v>
      </c>
      <c r="K363" s="391" t="s">
        <v>505</v>
      </c>
      <c r="L363" s="391" t="s">
        <v>505</v>
      </c>
      <c r="O363" s="392">
        <f t="shared" ref="O363:S372" si="90">IF(O$8=$K363,$H363,0)</f>
        <v>0</v>
      </c>
      <c r="P363" s="392">
        <f t="shared" si="90"/>
        <v>0</v>
      </c>
      <c r="Q363" s="392">
        <f t="shared" si="90"/>
        <v>553018.19999999995</v>
      </c>
      <c r="R363" s="392">
        <f t="shared" si="90"/>
        <v>0</v>
      </c>
      <c r="S363" s="392">
        <f t="shared" si="90"/>
        <v>0</v>
      </c>
      <c r="U363" s="392">
        <f t="shared" si="86"/>
        <v>0</v>
      </c>
      <c r="V363" s="392">
        <f t="shared" si="86"/>
        <v>0</v>
      </c>
      <c r="W363" s="392">
        <f t="shared" si="86"/>
        <v>165905.46</v>
      </c>
      <c r="X363" s="392">
        <f t="shared" si="86"/>
        <v>0</v>
      </c>
      <c r="Y363" s="392">
        <f t="shared" si="86"/>
        <v>0</v>
      </c>
      <c r="AA363" s="392">
        <f t="shared" si="87"/>
        <v>0</v>
      </c>
      <c r="AB363" s="392">
        <f t="shared" si="87"/>
        <v>0</v>
      </c>
      <c r="AC363" s="392">
        <f t="shared" si="87"/>
        <v>18433.939999999999</v>
      </c>
      <c r="AD363" s="392">
        <f t="shared" si="87"/>
        <v>0</v>
      </c>
      <c r="AE363" s="392">
        <f t="shared" si="87"/>
        <v>0</v>
      </c>
      <c r="AG363" s="409">
        <f t="shared" ref="AG363:AK384" si="91">IF($H363=0,0,O363/$H363)</f>
        <v>0</v>
      </c>
      <c r="AH363" s="409">
        <f t="shared" si="91"/>
        <v>0</v>
      </c>
      <c r="AI363" s="409">
        <f t="shared" si="91"/>
        <v>1</v>
      </c>
      <c r="AJ363" s="409">
        <f t="shared" si="91"/>
        <v>0</v>
      </c>
      <c r="AK363" s="409">
        <f t="shared" si="91"/>
        <v>0</v>
      </c>
      <c r="AN363" s="391">
        <v>553018.19999999995</v>
      </c>
      <c r="AO363" s="423">
        <f t="shared" si="80"/>
        <v>0</v>
      </c>
    </row>
    <row r="364" spans="1:41">
      <c r="A364" s="391" t="s">
        <v>682</v>
      </c>
      <c r="B364" s="408">
        <v>39255</v>
      </c>
      <c r="C364" s="391" t="s">
        <v>1242</v>
      </c>
      <c r="D364" s="391" t="s">
        <v>1243</v>
      </c>
      <c r="E364" s="391" t="s">
        <v>539</v>
      </c>
      <c r="F364" s="391" t="s">
        <v>540</v>
      </c>
      <c r="G364" s="391">
        <v>5</v>
      </c>
      <c r="H364" s="392">
        <v>1582</v>
      </c>
      <c r="I364" s="392">
        <v>1582</v>
      </c>
      <c r="J364" s="392">
        <v>0</v>
      </c>
      <c r="K364" s="391" t="s">
        <v>515</v>
      </c>
      <c r="L364" s="391" t="s">
        <v>515</v>
      </c>
      <c r="O364" s="392">
        <f t="shared" si="90"/>
        <v>0</v>
      </c>
      <c r="P364" s="392">
        <f t="shared" si="90"/>
        <v>0</v>
      </c>
      <c r="Q364" s="392">
        <f t="shared" si="90"/>
        <v>0</v>
      </c>
      <c r="R364" s="392">
        <f t="shared" si="90"/>
        <v>1582</v>
      </c>
      <c r="S364" s="392">
        <f t="shared" si="90"/>
        <v>0</v>
      </c>
      <c r="U364" s="392">
        <f t="shared" si="86"/>
        <v>0</v>
      </c>
      <c r="V364" s="392">
        <f t="shared" si="86"/>
        <v>0</v>
      </c>
      <c r="W364" s="392">
        <f t="shared" si="86"/>
        <v>0</v>
      </c>
      <c r="X364" s="392">
        <f t="shared" si="86"/>
        <v>1582</v>
      </c>
      <c r="Y364" s="392">
        <f t="shared" si="86"/>
        <v>0</v>
      </c>
      <c r="AA364" s="392">
        <f t="shared" si="87"/>
        <v>0</v>
      </c>
      <c r="AB364" s="392">
        <f t="shared" si="87"/>
        <v>0</v>
      </c>
      <c r="AC364" s="392">
        <f t="shared" si="87"/>
        <v>0</v>
      </c>
      <c r="AD364" s="392">
        <f t="shared" si="87"/>
        <v>0</v>
      </c>
      <c r="AE364" s="392">
        <f t="shared" si="87"/>
        <v>0</v>
      </c>
      <c r="AG364" s="409">
        <f t="shared" si="91"/>
        <v>0</v>
      </c>
      <c r="AH364" s="409">
        <f t="shared" si="91"/>
        <v>0</v>
      </c>
      <c r="AI364" s="409">
        <f t="shared" si="91"/>
        <v>0</v>
      </c>
      <c r="AJ364" s="409">
        <f t="shared" si="91"/>
        <v>1</v>
      </c>
      <c r="AK364" s="409">
        <f t="shared" si="91"/>
        <v>0</v>
      </c>
      <c r="AN364" s="391">
        <v>1582</v>
      </c>
      <c r="AO364" s="423">
        <f t="shared" ref="AO364:AO426" si="92">H364-AN364</f>
        <v>0</v>
      </c>
    </row>
    <row r="365" spans="1:41">
      <c r="A365" s="391" t="s">
        <v>646</v>
      </c>
      <c r="B365" s="408">
        <v>39325</v>
      </c>
      <c r="C365" s="391" t="s">
        <v>1244</v>
      </c>
      <c r="D365" s="391" t="s">
        <v>1245</v>
      </c>
      <c r="E365" s="391" t="s">
        <v>539</v>
      </c>
      <c r="F365" s="391" t="s">
        <v>540</v>
      </c>
      <c r="G365" s="391">
        <v>5</v>
      </c>
      <c r="H365" s="392">
        <v>119199</v>
      </c>
      <c r="I365" s="392">
        <v>119199</v>
      </c>
      <c r="J365" s="392">
        <v>0</v>
      </c>
      <c r="K365" s="391" t="s">
        <v>515</v>
      </c>
      <c r="L365" s="391" t="s">
        <v>515</v>
      </c>
      <c r="O365" s="392">
        <f t="shared" si="90"/>
        <v>0</v>
      </c>
      <c r="P365" s="392">
        <f t="shared" si="90"/>
        <v>0</v>
      </c>
      <c r="Q365" s="392">
        <f t="shared" si="90"/>
        <v>0</v>
      </c>
      <c r="R365" s="392">
        <f t="shared" si="90"/>
        <v>119199</v>
      </c>
      <c r="S365" s="392">
        <f t="shared" si="90"/>
        <v>0</v>
      </c>
      <c r="U365" s="392">
        <f t="shared" si="86"/>
        <v>0</v>
      </c>
      <c r="V365" s="392">
        <f t="shared" si="86"/>
        <v>0</v>
      </c>
      <c r="W365" s="392">
        <f t="shared" si="86"/>
        <v>0</v>
      </c>
      <c r="X365" s="392">
        <f t="shared" si="86"/>
        <v>119199</v>
      </c>
      <c r="Y365" s="392">
        <f t="shared" si="86"/>
        <v>0</v>
      </c>
      <c r="AA365" s="392">
        <f t="shared" si="87"/>
        <v>0</v>
      </c>
      <c r="AB365" s="392">
        <f t="shared" si="87"/>
        <v>0</v>
      </c>
      <c r="AC365" s="392">
        <f t="shared" si="87"/>
        <v>0</v>
      </c>
      <c r="AD365" s="392">
        <f t="shared" si="87"/>
        <v>0</v>
      </c>
      <c r="AE365" s="392">
        <f t="shared" si="87"/>
        <v>0</v>
      </c>
      <c r="AG365" s="409">
        <f t="shared" si="91"/>
        <v>0</v>
      </c>
      <c r="AH365" s="409">
        <f t="shared" si="91"/>
        <v>0</v>
      </c>
      <c r="AI365" s="409">
        <f t="shared" si="91"/>
        <v>0</v>
      </c>
      <c r="AJ365" s="409">
        <f t="shared" si="91"/>
        <v>1</v>
      </c>
      <c r="AK365" s="409">
        <f t="shared" si="91"/>
        <v>0</v>
      </c>
      <c r="AN365" s="391">
        <v>119199</v>
      </c>
      <c r="AO365" s="423">
        <f t="shared" si="92"/>
        <v>0</v>
      </c>
    </row>
    <row r="366" spans="1:41">
      <c r="A366" s="391" t="s">
        <v>682</v>
      </c>
      <c r="B366" s="408">
        <v>39353</v>
      </c>
      <c r="C366" s="391" t="s">
        <v>1246</v>
      </c>
      <c r="D366" s="391" t="s">
        <v>1247</v>
      </c>
      <c r="E366" s="391" t="s">
        <v>539</v>
      </c>
      <c r="F366" s="391" t="s">
        <v>540</v>
      </c>
      <c r="G366" s="391">
        <v>5</v>
      </c>
      <c r="H366" s="392">
        <v>0</v>
      </c>
      <c r="I366" s="392">
        <v>0</v>
      </c>
      <c r="J366" s="392">
        <v>0</v>
      </c>
      <c r="K366" s="391" t="s">
        <v>515</v>
      </c>
      <c r="L366" s="391" t="s">
        <v>515</v>
      </c>
      <c r="O366" s="392">
        <f t="shared" si="90"/>
        <v>0</v>
      </c>
      <c r="P366" s="392">
        <f t="shared" si="90"/>
        <v>0</v>
      </c>
      <c r="Q366" s="392">
        <f t="shared" si="90"/>
        <v>0</v>
      </c>
      <c r="R366" s="392">
        <f t="shared" si="90"/>
        <v>0</v>
      </c>
      <c r="S366" s="392">
        <f t="shared" si="90"/>
        <v>0</v>
      </c>
      <c r="U366" s="392">
        <f t="shared" si="86"/>
        <v>0</v>
      </c>
      <c r="V366" s="392">
        <f t="shared" si="86"/>
        <v>0</v>
      </c>
      <c r="W366" s="392">
        <f t="shared" si="86"/>
        <v>0</v>
      </c>
      <c r="X366" s="392">
        <f t="shared" si="86"/>
        <v>0</v>
      </c>
      <c r="Y366" s="392">
        <f t="shared" si="86"/>
        <v>0</v>
      </c>
      <c r="AA366" s="392">
        <f t="shared" si="87"/>
        <v>0</v>
      </c>
      <c r="AB366" s="392">
        <f t="shared" si="87"/>
        <v>0</v>
      </c>
      <c r="AC366" s="392">
        <f t="shared" si="87"/>
        <v>0</v>
      </c>
      <c r="AD366" s="392">
        <f t="shared" si="87"/>
        <v>0</v>
      </c>
      <c r="AE366" s="392">
        <f t="shared" si="87"/>
        <v>0</v>
      </c>
      <c r="AG366" s="409">
        <f t="shared" si="91"/>
        <v>0</v>
      </c>
      <c r="AH366" s="409">
        <f t="shared" si="91"/>
        <v>0</v>
      </c>
      <c r="AI366" s="409">
        <f t="shared" si="91"/>
        <v>0</v>
      </c>
      <c r="AJ366" s="409">
        <f t="shared" si="91"/>
        <v>0</v>
      </c>
      <c r="AK366" s="409">
        <f t="shared" si="91"/>
        <v>0</v>
      </c>
      <c r="AN366" s="391">
        <v>0</v>
      </c>
      <c r="AO366" s="423">
        <f t="shared" si="92"/>
        <v>0</v>
      </c>
    </row>
    <row r="367" spans="1:41">
      <c r="A367" s="391" t="s">
        <v>682</v>
      </c>
      <c r="B367" s="408">
        <v>39395</v>
      </c>
      <c r="C367" s="391" t="s">
        <v>1248</v>
      </c>
      <c r="D367" s="391" t="s">
        <v>1249</v>
      </c>
      <c r="E367" s="391" t="s">
        <v>539</v>
      </c>
      <c r="F367" s="391" t="s">
        <v>540</v>
      </c>
      <c r="G367" s="391">
        <v>5</v>
      </c>
      <c r="H367" s="392">
        <v>16619.72</v>
      </c>
      <c r="I367" s="392">
        <v>16619.72</v>
      </c>
      <c r="J367" s="392">
        <v>0</v>
      </c>
      <c r="K367" s="391" t="s">
        <v>515</v>
      </c>
      <c r="L367" s="391" t="s">
        <v>515</v>
      </c>
      <c r="O367" s="392">
        <f t="shared" si="90"/>
        <v>0</v>
      </c>
      <c r="P367" s="392">
        <f t="shared" si="90"/>
        <v>0</v>
      </c>
      <c r="Q367" s="392">
        <f t="shared" si="90"/>
        <v>0</v>
      </c>
      <c r="R367" s="392">
        <f t="shared" si="90"/>
        <v>16619.72</v>
      </c>
      <c r="S367" s="392">
        <f t="shared" si="90"/>
        <v>0</v>
      </c>
      <c r="U367" s="392">
        <f t="shared" si="86"/>
        <v>0</v>
      </c>
      <c r="V367" s="392">
        <f t="shared" si="86"/>
        <v>0</v>
      </c>
      <c r="W367" s="392">
        <f t="shared" si="86"/>
        <v>0</v>
      </c>
      <c r="X367" s="392">
        <f t="shared" si="86"/>
        <v>16619.72</v>
      </c>
      <c r="Y367" s="392">
        <f t="shared" si="86"/>
        <v>0</v>
      </c>
      <c r="AA367" s="392">
        <f t="shared" si="87"/>
        <v>0</v>
      </c>
      <c r="AB367" s="392">
        <f t="shared" si="87"/>
        <v>0</v>
      </c>
      <c r="AC367" s="392">
        <f t="shared" si="87"/>
        <v>0</v>
      </c>
      <c r="AD367" s="392">
        <f t="shared" si="87"/>
        <v>0</v>
      </c>
      <c r="AE367" s="392">
        <f t="shared" si="87"/>
        <v>0</v>
      </c>
      <c r="AG367" s="409">
        <f t="shared" si="91"/>
        <v>0</v>
      </c>
      <c r="AH367" s="409">
        <f t="shared" si="91"/>
        <v>0</v>
      </c>
      <c r="AI367" s="409">
        <f t="shared" si="91"/>
        <v>0</v>
      </c>
      <c r="AJ367" s="409">
        <f t="shared" si="91"/>
        <v>1</v>
      </c>
      <c r="AK367" s="409">
        <f t="shared" si="91"/>
        <v>0</v>
      </c>
      <c r="AN367" s="391">
        <v>16619.72</v>
      </c>
      <c r="AO367" s="423">
        <f t="shared" si="92"/>
        <v>0</v>
      </c>
    </row>
    <row r="368" spans="1:41">
      <c r="A368" s="391" t="s">
        <v>1148</v>
      </c>
      <c r="B368" s="408">
        <v>39465</v>
      </c>
      <c r="C368" s="391" t="s">
        <v>1250</v>
      </c>
      <c r="D368" s="391" t="s">
        <v>1251</v>
      </c>
      <c r="E368" s="391" t="s">
        <v>539</v>
      </c>
      <c r="F368" s="391" t="s">
        <v>540</v>
      </c>
      <c r="G368" s="391">
        <v>5</v>
      </c>
      <c r="H368" s="392">
        <v>21030.5</v>
      </c>
      <c r="I368" s="392">
        <v>21030.5</v>
      </c>
      <c r="J368" s="392">
        <v>0</v>
      </c>
      <c r="K368" s="391" t="s">
        <v>515</v>
      </c>
      <c r="L368" s="391" t="s">
        <v>515</v>
      </c>
      <c r="O368" s="392">
        <f t="shared" si="90"/>
        <v>0</v>
      </c>
      <c r="P368" s="392">
        <f t="shared" si="90"/>
        <v>0</v>
      </c>
      <c r="Q368" s="392">
        <f t="shared" si="90"/>
        <v>0</v>
      </c>
      <c r="R368" s="392">
        <f t="shared" si="90"/>
        <v>21030.5</v>
      </c>
      <c r="S368" s="392">
        <f t="shared" si="90"/>
        <v>0</v>
      </c>
      <c r="U368" s="392">
        <f t="shared" si="86"/>
        <v>0</v>
      </c>
      <c r="V368" s="392">
        <f t="shared" si="86"/>
        <v>0</v>
      </c>
      <c r="W368" s="392">
        <f t="shared" si="86"/>
        <v>0</v>
      </c>
      <c r="X368" s="392">
        <f t="shared" si="86"/>
        <v>21030.5</v>
      </c>
      <c r="Y368" s="392">
        <f t="shared" si="86"/>
        <v>0</v>
      </c>
      <c r="AA368" s="392">
        <f t="shared" si="87"/>
        <v>0</v>
      </c>
      <c r="AB368" s="392">
        <f t="shared" si="87"/>
        <v>0</v>
      </c>
      <c r="AC368" s="392">
        <f t="shared" si="87"/>
        <v>0</v>
      </c>
      <c r="AD368" s="392">
        <f t="shared" si="87"/>
        <v>0</v>
      </c>
      <c r="AE368" s="392">
        <f t="shared" si="87"/>
        <v>0</v>
      </c>
      <c r="AG368" s="409">
        <f t="shared" si="91"/>
        <v>0</v>
      </c>
      <c r="AH368" s="409">
        <f t="shared" si="91"/>
        <v>0</v>
      </c>
      <c r="AI368" s="409">
        <f t="shared" si="91"/>
        <v>0</v>
      </c>
      <c r="AJ368" s="409">
        <f t="shared" si="91"/>
        <v>1</v>
      </c>
      <c r="AK368" s="409">
        <f t="shared" si="91"/>
        <v>0</v>
      </c>
      <c r="AN368" s="391">
        <v>21030.5</v>
      </c>
      <c r="AO368" s="423">
        <f t="shared" si="92"/>
        <v>0</v>
      </c>
    </row>
    <row r="369" spans="1:41">
      <c r="A369" s="391" t="s">
        <v>646</v>
      </c>
      <c r="B369" s="408">
        <v>39479</v>
      </c>
      <c r="C369" s="391" t="s">
        <v>1252</v>
      </c>
      <c r="D369" s="391" t="s">
        <v>1253</v>
      </c>
      <c r="E369" s="391" t="s">
        <v>539</v>
      </c>
      <c r="F369" s="391" t="s">
        <v>540</v>
      </c>
      <c r="G369" s="391">
        <v>5</v>
      </c>
      <c r="H369" s="392">
        <v>25710.5</v>
      </c>
      <c r="I369" s="392">
        <v>25710.5</v>
      </c>
      <c r="J369" s="392">
        <v>0</v>
      </c>
      <c r="K369" s="391" t="s">
        <v>515</v>
      </c>
      <c r="L369" s="391" t="s">
        <v>515</v>
      </c>
      <c r="O369" s="392">
        <f t="shared" si="90"/>
        <v>0</v>
      </c>
      <c r="P369" s="392">
        <f t="shared" si="90"/>
        <v>0</v>
      </c>
      <c r="Q369" s="392">
        <f t="shared" si="90"/>
        <v>0</v>
      </c>
      <c r="R369" s="392">
        <f t="shared" si="90"/>
        <v>25710.5</v>
      </c>
      <c r="S369" s="392">
        <f t="shared" si="90"/>
        <v>0</v>
      </c>
      <c r="U369" s="392">
        <f t="shared" si="86"/>
        <v>0</v>
      </c>
      <c r="V369" s="392">
        <f t="shared" si="86"/>
        <v>0</v>
      </c>
      <c r="W369" s="392">
        <f t="shared" si="86"/>
        <v>0</v>
      </c>
      <c r="X369" s="392">
        <f t="shared" si="86"/>
        <v>25710.5</v>
      </c>
      <c r="Y369" s="392">
        <f t="shared" si="86"/>
        <v>0</v>
      </c>
      <c r="AA369" s="392">
        <f t="shared" si="87"/>
        <v>0</v>
      </c>
      <c r="AB369" s="392">
        <f t="shared" si="87"/>
        <v>0</v>
      </c>
      <c r="AC369" s="392">
        <f t="shared" si="87"/>
        <v>0</v>
      </c>
      <c r="AD369" s="392">
        <f t="shared" si="87"/>
        <v>0</v>
      </c>
      <c r="AE369" s="392">
        <f t="shared" si="87"/>
        <v>0</v>
      </c>
      <c r="AG369" s="409">
        <f t="shared" si="91"/>
        <v>0</v>
      </c>
      <c r="AH369" s="409">
        <f t="shared" si="91"/>
        <v>0</v>
      </c>
      <c r="AI369" s="409">
        <f t="shared" si="91"/>
        <v>0</v>
      </c>
      <c r="AJ369" s="409">
        <f t="shared" si="91"/>
        <v>1</v>
      </c>
      <c r="AK369" s="409">
        <f t="shared" si="91"/>
        <v>0</v>
      </c>
      <c r="AN369" s="391">
        <v>25710.5</v>
      </c>
      <c r="AO369" s="423">
        <f t="shared" si="92"/>
        <v>0</v>
      </c>
    </row>
    <row r="370" spans="1:41">
      <c r="A370" s="391" t="s">
        <v>632</v>
      </c>
      <c r="B370" s="408">
        <v>39479</v>
      </c>
      <c r="C370" s="391" t="s">
        <v>1254</v>
      </c>
      <c r="D370" s="391" t="s">
        <v>1255</v>
      </c>
      <c r="E370" s="391" t="s">
        <v>539</v>
      </c>
      <c r="F370" s="391" t="s">
        <v>540</v>
      </c>
      <c r="G370" s="391">
        <v>5</v>
      </c>
      <c r="H370" s="392">
        <v>2148.15</v>
      </c>
      <c r="I370" s="392">
        <v>2148.15</v>
      </c>
      <c r="J370" s="392">
        <v>0</v>
      </c>
      <c r="K370" s="391" t="s">
        <v>515</v>
      </c>
      <c r="L370" s="391" t="s">
        <v>515</v>
      </c>
      <c r="O370" s="392">
        <f t="shared" si="90"/>
        <v>0</v>
      </c>
      <c r="P370" s="392">
        <f t="shared" si="90"/>
        <v>0</v>
      </c>
      <c r="Q370" s="392">
        <f t="shared" si="90"/>
        <v>0</v>
      </c>
      <c r="R370" s="392">
        <f t="shared" si="90"/>
        <v>2148.15</v>
      </c>
      <c r="S370" s="392">
        <f t="shared" si="90"/>
        <v>0</v>
      </c>
      <c r="U370" s="392">
        <f t="shared" si="86"/>
        <v>0</v>
      </c>
      <c r="V370" s="392">
        <f t="shared" si="86"/>
        <v>0</v>
      </c>
      <c r="W370" s="392">
        <f t="shared" si="86"/>
        <v>0</v>
      </c>
      <c r="X370" s="392">
        <f t="shared" si="86"/>
        <v>2148.15</v>
      </c>
      <c r="Y370" s="392">
        <f t="shared" si="86"/>
        <v>0</v>
      </c>
      <c r="AA370" s="392">
        <f t="shared" si="87"/>
        <v>0</v>
      </c>
      <c r="AB370" s="392">
        <f t="shared" si="87"/>
        <v>0</v>
      </c>
      <c r="AC370" s="392">
        <f t="shared" si="87"/>
        <v>0</v>
      </c>
      <c r="AD370" s="392">
        <f t="shared" si="87"/>
        <v>0</v>
      </c>
      <c r="AE370" s="392">
        <f t="shared" si="87"/>
        <v>0</v>
      </c>
      <c r="AG370" s="409">
        <f t="shared" si="91"/>
        <v>0</v>
      </c>
      <c r="AH370" s="409">
        <f t="shared" si="91"/>
        <v>0</v>
      </c>
      <c r="AI370" s="409">
        <f t="shared" si="91"/>
        <v>0</v>
      </c>
      <c r="AJ370" s="409">
        <f t="shared" si="91"/>
        <v>1</v>
      </c>
      <c r="AK370" s="409">
        <f t="shared" si="91"/>
        <v>0</v>
      </c>
      <c r="AN370" s="391">
        <v>2148.15</v>
      </c>
      <c r="AO370" s="423">
        <f t="shared" si="92"/>
        <v>0</v>
      </c>
    </row>
    <row r="371" spans="1:41">
      <c r="A371" s="391" t="s">
        <v>632</v>
      </c>
      <c r="B371" s="408">
        <v>39479</v>
      </c>
      <c r="C371" s="391" t="s">
        <v>1256</v>
      </c>
      <c r="D371" s="391" t="s">
        <v>1257</v>
      </c>
      <c r="E371" s="391" t="s">
        <v>539</v>
      </c>
      <c r="F371" s="391" t="s">
        <v>540</v>
      </c>
      <c r="G371" s="391">
        <v>5</v>
      </c>
      <c r="H371" s="392">
        <v>3235</v>
      </c>
      <c r="I371" s="392">
        <v>3235</v>
      </c>
      <c r="J371" s="392">
        <v>0</v>
      </c>
      <c r="K371" s="391" t="s">
        <v>515</v>
      </c>
      <c r="L371" s="391" t="s">
        <v>515</v>
      </c>
      <c r="O371" s="392">
        <f t="shared" si="90"/>
        <v>0</v>
      </c>
      <c r="P371" s="392">
        <f t="shared" si="90"/>
        <v>0</v>
      </c>
      <c r="Q371" s="392">
        <f t="shared" si="90"/>
        <v>0</v>
      </c>
      <c r="R371" s="392">
        <f t="shared" si="90"/>
        <v>3235</v>
      </c>
      <c r="S371" s="392">
        <f t="shared" si="90"/>
        <v>0</v>
      </c>
      <c r="U371" s="392">
        <f t="shared" si="86"/>
        <v>0</v>
      </c>
      <c r="V371" s="392">
        <f t="shared" si="86"/>
        <v>0</v>
      </c>
      <c r="W371" s="392">
        <f t="shared" si="86"/>
        <v>0</v>
      </c>
      <c r="X371" s="392">
        <f t="shared" si="86"/>
        <v>3235</v>
      </c>
      <c r="Y371" s="392">
        <f t="shared" si="86"/>
        <v>0</v>
      </c>
      <c r="AA371" s="392">
        <f t="shared" si="87"/>
        <v>0</v>
      </c>
      <c r="AB371" s="392">
        <f t="shared" si="87"/>
        <v>0</v>
      </c>
      <c r="AC371" s="392">
        <f t="shared" si="87"/>
        <v>0</v>
      </c>
      <c r="AD371" s="392">
        <f t="shared" si="87"/>
        <v>0</v>
      </c>
      <c r="AE371" s="392">
        <f t="shared" si="87"/>
        <v>0</v>
      </c>
      <c r="AG371" s="409">
        <f t="shared" si="91"/>
        <v>0</v>
      </c>
      <c r="AH371" s="409">
        <f t="shared" si="91"/>
        <v>0</v>
      </c>
      <c r="AI371" s="409">
        <f t="shared" si="91"/>
        <v>0</v>
      </c>
      <c r="AJ371" s="409">
        <f t="shared" si="91"/>
        <v>1</v>
      </c>
      <c r="AK371" s="409">
        <f t="shared" si="91"/>
        <v>0</v>
      </c>
      <c r="AN371" s="391">
        <v>3235</v>
      </c>
      <c r="AO371" s="423">
        <f t="shared" si="92"/>
        <v>0</v>
      </c>
    </row>
    <row r="372" spans="1:41">
      <c r="A372" s="391" t="s">
        <v>682</v>
      </c>
      <c r="B372" s="408">
        <v>39479</v>
      </c>
      <c r="C372" s="391" t="s">
        <v>1258</v>
      </c>
      <c r="D372" s="391" t="s">
        <v>1259</v>
      </c>
      <c r="E372" s="391" t="s">
        <v>539</v>
      </c>
      <c r="F372" s="391" t="s">
        <v>540</v>
      </c>
      <c r="G372" s="391">
        <v>5</v>
      </c>
      <c r="H372" s="392">
        <v>3100</v>
      </c>
      <c r="I372" s="392">
        <v>3100</v>
      </c>
      <c r="J372" s="392">
        <v>0</v>
      </c>
      <c r="K372" s="391" t="s">
        <v>515</v>
      </c>
      <c r="L372" s="391" t="s">
        <v>515</v>
      </c>
      <c r="O372" s="392">
        <f t="shared" si="90"/>
        <v>0</v>
      </c>
      <c r="P372" s="392">
        <f t="shared" si="90"/>
        <v>0</v>
      </c>
      <c r="Q372" s="392">
        <f t="shared" si="90"/>
        <v>0</v>
      </c>
      <c r="R372" s="392">
        <f t="shared" si="90"/>
        <v>3100</v>
      </c>
      <c r="S372" s="392">
        <f t="shared" si="90"/>
        <v>0</v>
      </c>
      <c r="U372" s="392">
        <f t="shared" si="86"/>
        <v>0</v>
      </c>
      <c r="V372" s="392">
        <f t="shared" si="86"/>
        <v>0</v>
      </c>
      <c r="W372" s="392">
        <f t="shared" si="86"/>
        <v>0</v>
      </c>
      <c r="X372" s="392">
        <f t="shared" si="86"/>
        <v>3100</v>
      </c>
      <c r="Y372" s="392">
        <f t="shared" si="86"/>
        <v>0</v>
      </c>
      <c r="AA372" s="392">
        <f t="shared" si="87"/>
        <v>0</v>
      </c>
      <c r="AB372" s="392">
        <f t="shared" si="87"/>
        <v>0</v>
      </c>
      <c r="AC372" s="392">
        <f t="shared" si="87"/>
        <v>0</v>
      </c>
      <c r="AD372" s="392">
        <f t="shared" si="87"/>
        <v>0</v>
      </c>
      <c r="AE372" s="392">
        <f t="shared" si="87"/>
        <v>0</v>
      </c>
      <c r="AG372" s="409">
        <f t="shared" si="91"/>
        <v>0</v>
      </c>
      <c r="AH372" s="409">
        <f t="shared" si="91"/>
        <v>0</v>
      </c>
      <c r="AI372" s="409">
        <f t="shared" si="91"/>
        <v>0</v>
      </c>
      <c r="AJ372" s="409">
        <f t="shared" si="91"/>
        <v>1</v>
      </c>
      <c r="AK372" s="409">
        <f t="shared" si="91"/>
        <v>0</v>
      </c>
      <c r="AN372" s="391">
        <v>3100</v>
      </c>
      <c r="AO372" s="423">
        <f t="shared" si="92"/>
        <v>0</v>
      </c>
    </row>
    <row r="373" spans="1:41">
      <c r="A373" s="391" t="s">
        <v>632</v>
      </c>
      <c r="B373" s="408">
        <v>39492</v>
      </c>
      <c r="C373" s="391" t="s">
        <v>1260</v>
      </c>
      <c r="D373" s="391" t="s">
        <v>1261</v>
      </c>
      <c r="E373" s="391" t="s">
        <v>539</v>
      </c>
      <c r="F373" s="391" t="s">
        <v>540</v>
      </c>
      <c r="G373" s="391">
        <v>5</v>
      </c>
      <c r="H373" s="392">
        <v>4350</v>
      </c>
      <c r="I373" s="392">
        <v>4350</v>
      </c>
      <c r="J373" s="392">
        <v>0</v>
      </c>
      <c r="K373" s="391" t="s">
        <v>515</v>
      </c>
      <c r="L373" s="391" t="s">
        <v>515</v>
      </c>
      <c r="O373" s="392">
        <f t="shared" ref="O373:S384" si="93">IF(O$8=$K373,$H373,0)</f>
        <v>0</v>
      </c>
      <c r="P373" s="392">
        <f t="shared" si="93"/>
        <v>0</v>
      </c>
      <c r="Q373" s="392">
        <f t="shared" si="93"/>
        <v>0</v>
      </c>
      <c r="R373" s="392">
        <f t="shared" si="93"/>
        <v>4350</v>
      </c>
      <c r="S373" s="392">
        <f t="shared" si="93"/>
        <v>0</v>
      </c>
      <c r="U373" s="392">
        <f t="shared" si="86"/>
        <v>0</v>
      </c>
      <c r="V373" s="392">
        <f t="shared" si="86"/>
        <v>0</v>
      </c>
      <c r="W373" s="392">
        <f t="shared" si="86"/>
        <v>0</v>
      </c>
      <c r="X373" s="392">
        <f t="shared" si="86"/>
        <v>4350</v>
      </c>
      <c r="Y373" s="392">
        <f t="shared" si="86"/>
        <v>0</v>
      </c>
      <c r="AA373" s="392">
        <f t="shared" si="87"/>
        <v>0</v>
      </c>
      <c r="AB373" s="392">
        <f t="shared" si="87"/>
        <v>0</v>
      </c>
      <c r="AC373" s="392">
        <f t="shared" si="87"/>
        <v>0</v>
      </c>
      <c r="AD373" s="392">
        <f t="shared" si="87"/>
        <v>0</v>
      </c>
      <c r="AE373" s="392">
        <f t="shared" si="87"/>
        <v>0</v>
      </c>
      <c r="AG373" s="409">
        <f t="shared" si="91"/>
        <v>0</v>
      </c>
      <c r="AH373" s="409">
        <f t="shared" si="91"/>
        <v>0</v>
      </c>
      <c r="AI373" s="409">
        <f t="shared" si="91"/>
        <v>0</v>
      </c>
      <c r="AJ373" s="409">
        <f t="shared" si="91"/>
        <v>1</v>
      </c>
      <c r="AK373" s="409">
        <f t="shared" si="91"/>
        <v>0</v>
      </c>
      <c r="AN373" s="391">
        <v>4350</v>
      </c>
      <c r="AO373" s="423">
        <f t="shared" si="92"/>
        <v>0</v>
      </c>
    </row>
    <row r="374" spans="1:41">
      <c r="A374" s="391" t="s">
        <v>632</v>
      </c>
      <c r="B374" s="408">
        <v>39492</v>
      </c>
      <c r="C374" s="391" t="s">
        <v>1260</v>
      </c>
      <c r="D374" s="391" t="s">
        <v>1262</v>
      </c>
      <c r="E374" s="391" t="s">
        <v>539</v>
      </c>
      <c r="F374" s="391" t="s">
        <v>540</v>
      </c>
      <c r="G374" s="391">
        <v>5</v>
      </c>
      <c r="H374" s="392">
        <v>3895.14</v>
      </c>
      <c r="I374" s="392">
        <v>3895.14</v>
      </c>
      <c r="J374" s="392">
        <v>0</v>
      </c>
      <c r="K374" s="391" t="s">
        <v>515</v>
      </c>
      <c r="L374" s="391" t="s">
        <v>515</v>
      </c>
      <c r="O374" s="392">
        <f t="shared" si="93"/>
        <v>0</v>
      </c>
      <c r="P374" s="392">
        <f t="shared" si="93"/>
        <v>0</v>
      </c>
      <c r="Q374" s="392">
        <f t="shared" si="93"/>
        <v>0</v>
      </c>
      <c r="R374" s="392">
        <f t="shared" si="93"/>
        <v>3895.14</v>
      </c>
      <c r="S374" s="392">
        <f t="shared" si="93"/>
        <v>0</v>
      </c>
      <c r="U374" s="392">
        <f t="shared" si="86"/>
        <v>0</v>
      </c>
      <c r="V374" s="392">
        <f t="shared" si="86"/>
        <v>0</v>
      </c>
      <c r="W374" s="392">
        <f t="shared" si="86"/>
        <v>0</v>
      </c>
      <c r="X374" s="392">
        <f t="shared" si="86"/>
        <v>3895.14</v>
      </c>
      <c r="Y374" s="392">
        <f t="shared" si="86"/>
        <v>0</v>
      </c>
      <c r="AA374" s="392">
        <f t="shared" si="87"/>
        <v>0</v>
      </c>
      <c r="AB374" s="392">
        <f t="shared" si="87"/>
        <v>0</v>
      </c>
      <c r="AC374" s="392">
        <f t="shared" si="87"/>
        <v>0</v>
      </c>
      <c r="AD374" s="392">
        <f t="shared" si="87"/>
        <v>0</v>
      </c>
      <c r="AE374" s="392">
        <f t="shared" si="87"/>
        <v>0</v>
      </c>
      <c r="AG374" s="409">
        <f t="shared" si="91"/>
        <v>0</v>
      </c>
      <c r="AH374" s="409">
        <f t="shared" si="91"/>
        <v>0</v>
      </c>
      <c r="AI374" s="409">
        <f t="shared" si="91"/>
        <v>0</v>
      </c>
      <c r="AJ374" s="409">
        <f t="shared" si="91"/>
        <v>1</v>
      </c>
      <c r="AK374" s="409">
        <f t="shared" si="91"/>
        <v>0</v>
      </c>
      <c r="AN374" s="391">
        <v>3895.14</v>
      </c>
      <c r="AO374" s="423">
        <f t="shared" si="92"/>
        <v>0</v>
      </c>
    </row>
    <row r="375" spans="1:41">
      <c r="A375" s="391" t="s">
        <v>632</v>
      </c>
      <c r="B375" s="408">
        <v>39507</v>
      </c>
      <c r="C375" s="391" t="s">
        <v>1263</v>
      </c>
      <c r="D375" s="391" t="s">
        <v>1264</v>
      </c>
      <c r="E375" s="391" t="s">
        <v>539</v>
      </c>
      <c r="F375" s="391" t="s">
        <v>540</v>
      </c>
      <c r="G375" s="391">
        <v>5</v>
      </c>
      <c r="H375" s="392">
        <v>2052.38</v>
      </c>
      <c r="I375" s="392">
        <v>2052.38</v>
      </c>
      <c r="J375" s="392">
        <v>0</v>
      </c>
      <c r="K375" s="391" t="s">
        <v>515</v>
      </c>
      <c r="L375" s="391" t="s">
        <v>515</v>
      </c>
      <c r="O375" s="392">
        <f t="shared" si="93"/>
        <v>0</v>
      </c>
      <c r="P375" s="392">
        <f t="shared" si="93"/>
        <v>0</v>
      </c>
      <c r="Q375" s="392">
        <f t="shared" si="93"/>
        <v>0</v>
      </c>
      <c r="R375" s="392">
        <f t="shared" si="93"/>
        <v>2052.38</v>
      </c>
      <c r="S375" s="392">
        <f t="shared" si="93"/>
        <v>0</v>
      </c>
      <c r="U375" s="392">
        <f t="shared" si="86"/>
        <v>0</v>
      </c>
      <c r="V375" s="392">
        <f t="shared" si="86"/>
        <v>0</v>
      </c>
      <c r="W375" s="392">
        <f t="shared" si="86"/>
        <v>0</v>
      </c>
      <c r="X375" s="392">
        <f t="shared" si="86"/>
        <v>2052.38</v>
      </c>
      <c r="Y375" s="392">
        <f t="shared" si="86"/>
        <v>0</v>
      </c>
      <c r="AA375" s="392">
        <f t="shared" si="87"/>
        <v>0</v>
      </c>
      <c r="AB375" s="392">
        <f t="shared" si="87"/>
        <v>0</v>
      </c>
      <c r="AC375" s="392">
        <f t="shared" si="87"/>
        <v>0</v>
      </c>
      <c r="AD375" s="392">
        <f t="shared" si="87"/>
        <v>0</v>
      </c>
      <c r="AE375" s="392">
        <f t="shared" si="87"/>
        <v>0</v>
      </c>
      <c r="AG375" s="409">
        <f t="shared" si="91"/>
        <v>0</v>
      </c>
      <c r="AH375" s="409">
        <f t="shared" si="91"/>
        <v>0</v>
      </c>
      <c r="AI375" s="409">
        <f t="shared" si="91"/>
        <v>0</v>
      </c>
      <c r="AJ375" s="409">
        <f t="shared" si="91"/>
        <v>1</v>
      </c>
      <c r="AK375" s="409">
        <f t="shared" si="91"/>
        <v>0</v>
      </c>
      <c r="AN375" s="391">
        <v>2052.38</v>
      </c>
      <c r="AO375" s="423">
        <f t="shared" si="92"/>
        <v>0</v>
      </c>
    </row>
    <row r="376" spans="1:41">
      <c r="A376" s="391" t="s">
        <v>682</v>
      </c>
      <c r="B376" s="408">
        <v>39507</v>
      </c>
      <c r="C376" s="391" t="s">
        <v>1263</v>
      </c>
      <c r="D376" s="391" t="s">
        <v>1265</v>
      </c>
      <c r="E376" s="391" t="s">
        <v>539</v>
      </c>
      <c r="F376" s="391" t="s">
        <v>540</v>
      </c>
      <c r="G376" s="391">
        <v>5</v>
      </c>
      <c r="H376" s="392">
        <v>2052.38</v>
      </c>
      <c r="I376" s="392">
        <v>2052.38</v>
      </c>
      <c r="J376" s="392">
        <v>0</v>
      </c>
      <c r="K376" s="391" t="s">
        <v>515</v>
      </c>
      <c r="L376" s="391" t="s">
        <v>515</v>
      </c>
      <c r="O376" s="392">
        <f t="shared" si="93"/>
        <v>0</v>
      </c>
      <c r="P376" s="392">
        <f t="shared" si="93"/>
        <v>0</v>
      </c>
      <c r="Q376" s="392">
        <f t="shared" si="93"/>
        <v>0</v>
      </c>
      <c r="R376" s="392">
        <f t="shared" si="93"/>
        <v>2052.38</v>
      </c>
      <c r="S376" s="392">
        <f t="shared" si="93"/>
        <v>0</v>
      </c>
      <c r="U376" s="392">
        <f t="shared" si="86"/>
        <v>0</v>
      </c>
      <c r="V376" s="392">
        <f t="shared" si="86"/>
        <v>0</v>
      </c>
      <c r="W376" s="392">
        <f t="shared" si="86"/>
        <v>0</v>
      </c>
      <c r="X376" s="392">
        <f t="shared" si="86"/>
        <v>2052.38</v>
      </c>
      <c r="Y376" s="392">
        <f t="shared" si="86"/>
        <v>0</v>
      </c>
      <c r="AA376" s="392">
        <f t="shared" si="87"/>
        <v>0</v>
      </c>
      <c r="AB376" s="392">
        <f t="shared" si="87"/>
        <v>0</v>
      </c>
      <c r="AC376" s="392">
        <f t="shared" si="87"/>
        <v>0</v>
      </c>
      <c r="AD376" s="392">
        <f t="shared" si="87"/>
        <v>0</v>
      </c>
      <c r="AE376" s="392">
        <f t="shared" si="87"/>
        <v>0</v>
      </c>
      <c r="AG376" s="409">
        <f t="shared" si="91"/>
        <v>0</v>
      </c>
      <c r="AH376" s="409">
        <f t="shared" si="91"/>
        <v>0</v>
      </c>
      <c r="AI376" s="409">
        <f t="shared" si="91"/>
        <v>0</v>
      </c>
      <c r="AJ376" s="409">
        <f t="shared" si="91"/>
        <v>1</v>
      </c>
      <c r="AK376" s="409">
        <f t="shared" si="91"/>
        <v>0</v>
      </c>
      <c r="AN376" s="391">
        <v>2052.38</v>
      </c>
      <c r="AO376" s="423">
        <f t="shared" si="92"/>
        <v>0</v>
      </c>
    </row>
    <row r="377" spans="1:41">
      <c r="A377" s="391" t="s">
        <v>632</v>
      </c>
      <c r="B377" s="408">
        <v>39521</v>
      </c>
      <c r="C377" s="391" t="s">
        <v>1266</v>
      </c>
      <c r="D377" s="391" t="s">
        <v>1267</v>
      </c>
      <c r="E377" s="391" t="s">
        <v>539</v>
      </c>
      <c r="F377" s="391" t="s">
        <v>540</v>
      </c>
      <c r="G377" s="391">
        <v>5</v>
      </c>
      <c r="H377" s="392">
        <v>0</v>
      </c>
      <c r="I377" s="392">
        <v>0</v>
      </c>
      <c r="J377" s="392">
        <v>0</v>
      </c>
      <c r="K377" s="391" t="s">
        <v>515</v>
      </c>
      <c r="L377" s="391" t="s">
        <v>515</v>
      </c>
      <c r="O377" s="392">
        <f t="shared" si="93"/>
        <v>0</v>
      </c>
      <c r="P377" s="392">
        <f t="shared" si="93"/>
        <v>0</v>
      </c>
      <c r="Q377" s="392">
        <f t="shared" si="93"/>
        <v>0</v>
      </c>
      <c r="R377" s="392">
        <f t="shared" si="93"/>
        <v>0</v>
      </c>
      <c r="S377" s="392">
        <f t="shared" si="93"/>
        <v>0</v>
      </c>
      <c r="U377" s="392">
        <f t="shared" si="86"/>
        <v>0</v>
      </c>
      <c r="V377" s="392">
        <f t="shared" si="86"/>
        <v>0</v>
      </c>
      <c r="W377" s="392">
        <f t="shared" si="86"/>
        <v>0</v>
      </c>
      <c r="X377" s="392">
        <f t="shared" si="86"/>
        <v>0</v>
      </c>
      <c r="Y377" s="392">
        <f t="shared" si="86"/>
        <v>0</v>
      </c>
      <c r="AA377" s="392">
        <f t="shared" si="87"/>
        <v>0</v>
      </c>
      <c r="AB377" s="392">
        <f t="shared" si="87"/>
        <v>0</v>
      </c>
      <c r="AC377" s="392">
        <f t="shared" si="87"/>
        <v>0</v>
      </c>
      <c r="AD377" s="392">
        <f t="shared" si="87"/>
        <v>0</v>
      </c>
      <c r="AE377" s="392">
        <f t="shared" si="87"/>
        <v>0</v>
      </c>
      <c r="AG377" s="409">
        <f t="shared" si="91"/>
        <v>0</v>
      </c>
      <c r="AH377" s="409">
        <f t="shared" si="91"/>
        <v>0</v>
      </c>
      <c r="AI377" s="409">
        <f t="shared" si="91"/>
        <v>0</v>
      </c>
      <c r="AJ377" s="409">
        <f t="shared" si="91"/>
        <v>0</v>
      </c>
      <c r="AK377" s="409">
        <f t="shared" si="91"/>
        <v>0</v>
      </c>
      <c r="AN377" s="391">
        <v>0</v>
      </c>
      <c r="AO377" s="423">
        <f t="shared" si="92"/>
        <v>0</v>
      </c>
    </row>
    <row r="378" spans="1:41">
      <c r="A378" s="391" t="s">
        <v>646</v>
      </c>
      <c r="B378" s="408">
        <v>39563</v>
      </c>
      <c r="C378" s="391" t="s">
        <v>1268</v>
      </c>
      <c r="D378" s="391" t="s">
        <v>1269</v>
      </c>
      <c r="E378" s="391" t="s">
        <v>539</v>
      </c>
      <c r="F378" s="391" t="s">
        <v>540</v>
      </c>
      <c r="G378" s="391">
        <v>5</v>
      </c>
      <c r="H378" s="392">
        <v>32653.5</v>
      </c>
      <c r="I378" s="392">
        <v>32653.5</v>
      </c>
      <c r="J378" s="392">
        <v>0</v>
      </c>
      <c r="K378" s="391" t="s">
        <v>515</v>
      </c>
      <c r="L378" s="391" t="s">
        <v>515</v>
      </c>
      <c r="O378" s="392">
        <f t="shared" si="93"/>
        <v>0</v>
      </c>
      <c r="P378" s="392">
        <f t="shared" si="93"/>
        <v>0</v>
      </c>
      <c r="Q378" s="392">
        <f t="shared" si="93"/>
        <v>0</v>
      </c>
      <c r="R378" s="392">
        <f t="shared" si="93"/>
        <v>32653.5</v>
      </c>
      <c r="S378" s="392">
        <f t="shared" si="93"/>
        <v>0</v>
      </c>
      <c r="U378" s="392">
        <f t="shared" si="86"/>
        <v>0</v>
      </c>
      <c r="V378" s="392">
        <f t="shared" si="86"/>
        <v>0</v>
      </c>
      <c r="W378" s="392">
        <f t="shared" si="86"/>
        <v>0</v>
      </c>
      <c r="X378" s="392">
        <f t="shared" si="86"/>
        <v>32653.5</v>
      </c>
      <c r="Y378" s="392">
        <f t="shared" si="86"/>
        <v>0</v>
      </c>
      <c r="AA378" s="392">
        <f t="shared" si="87"/>
        <v>0</v>
      </c>
      <c r="AB378" s="392">
        <f t="shared" si="87"/>
        <v>0</v>
      </c>
      <c r="AC378" s="392">
        <f t="shared" si="87"/>
        <v>0</v>
      </c>
      <c r="AD378" s="392">
        <f t="shared" si="87"/>
        <v>0</v>
      </c>
      <c r="AE378" s="392">
        <f t="shared" si="87"/>
        <v>0</v>
      </c>
      <c r="AG378" s="409">
        <f t="shared" si="91"/>
        <v>0</v>
      </c>
      <c r="AH378" s="409">
        <f t="shared" si="91"/>
        <v>0</v>
      </c>
      <c r="AI378" s="409">
        <f t="shared" si="91"/>
        <v>0</v>
      </c>
      <c r="AJ378" s="409">
        <f t="shared" si="91"/>
        <v>1</v>
      </c>
      <c r="AK378" s="409">
        <f t="shared" si="91"/>
        <v>0</v>
      </c>
      <c r="AN378" s="391">
        <v>32653.5</v>
      </c>
      <c r="AO378" s="423">
        <f t="shared" si="92"/>
        <v>0</v>
      </c>
    </row>
    <row r="379" spans="1:41">
      <c r="A379" s="391" t="s">
        <v>632</v>
      </c>
      <c r="B379" s="408">
        <v>39563</v>
      </c>
      <c r="C379" s="391" t="s">
        <v>1270</v>
      </c>
      <c r="D379" s="391" t="s">
        <v>1271</v>
      </c>
      <c r="E379" s="391" t="s">
        <v>539</v>
      </c>
      <c r="F379" s="391" t="s">
        <v>540</v>
      </c>
      <c r="G379" s="391">
        <v>5</v>
      </c>
      <c r="H379" s="392">
        <v>1718</v>
      </c>
      <c r="I379" s="392">
        <v>1718</v>
      </c>
      <c r="J379" s="392">
        <v>0</v>
      </c>
      <c r="K379" s="391" t="s">
        <v>515</v>
      </c>
      <c r="L379" s="391" t="s">
        <v>515</v>
      </c>
      <c r="O379" s="392">
        <f t="shared" si="93"/>
        <v>0</v>
      </c>
      <c r="P379" s="392">
        <f t="shared" si="93"/>
        <v>0</v>
      </c>
      <c r="Q379" s="392">
        <f t="shared" si="93"/>
        <v>0</v>
      </c>
      <c r="R379" s="392">
        <f t="shared" si="93"/>
        <v>1718</v>
      </c>
      <c r="S379" s="392">
        <f t="shared" si="93"/>
        <v>0</v>
      </c>
      <c r="U379" s="392">
        <f t="shared" si="86"/>
        <v>0</v>
      </c>
      <c r="V379" s="392">
        <f t="shared" si="86"/>
        <v>0</v>
      </c>
      <c r="W379" s="392">
        <f t="shared" si="86"/>
        <v>0</v>
      </c>
      <c r="X379" s="392">
        <f t="shared" si="86"/>
        <v>1718</v>
      </c>
      <c r="Y379" s="392">
        <f t="shared" si="86"/>
        <v>0</v>
      </c>
      <c r="AA379" s="392">
        <f t="shared" si="87"/>
        <v>0</v>
      </c>
      <c r="AB379" s="392">
        <f t="shared" si="87"/>
        <v>0</v>
      </c>
      <c r="AC379" s="392">
        <f t="shared" si="87"/>
        <v>0</v>
      </c>
      <c r="AD379" s="392">
        <f t="shared" si="87"/>
        <v>0</v>
      </c>
      <c r="AE379" s="392">
        <f t="shared" si="87"/>
        <v>0</v>
      </c>
      <c r="AG379" s="409">
        <f t="shared" si="91"/>
        <v>0</v>
      </c>
      <c r="AH379" s="409">
        <f t="shared" si="91"/>
        <v>0</v>
      </c>
      <c r="AI379" s="409">
        <f t="shared" si="91"/>
        <v>0</v>
      </c>
      <c r="AJ379" s="409">
        <f t="shared" si="91"/>
        <v>1</v>
      </c>
      <c r="AK379" s="409">
        <f t="shared" si="91"/>
        <v>0</v>
      </c>
      <c r="AN379" s="391">
        <v>1718</v>
      </c>
      <c r="AO379" s="423">
        <f t="shared" si="92"/>
        <v>0</v>
      </c>
    </row>
    <row r="380" spans="1:41">
      <c r="A380" s="391" t="s">
        <v>632</v>
      </c>
      <c r="B380" s="408">
        <v>39563</v>
      </c>
      <c r="C380" s="391" t="s">
        <v>1270</v>
      </c>
      <c r="D380" s="391" t="s">
        <v>1272</v>
      </c>
      <c r="E380" s="391" t="s">
        <v>539</v>
      </c>
      <c r="F380" s="391" t="s">
        <v>540</v>
      </c>
      <c r="G380" s="391">
        <v>5</v>
      </c>
      <c r="H380" s="392">
        <v>1718</v>
      </c>
      <c r="I380" s="392">
        <v>1718</v>
      </c>
      <c r="J380" s="392">
        <v>0</v>
      </c>
      <c r="K380" s="391" t="s">
        <v>515</v>
      </c>
      <c r="L380" s="391" t="s">
        <v>515</v>
      </c>
      <c r="O380" s="392">
        <f t="shared" si="93"/>
        <v>0</v>
      </c>
      <c r="P380" s="392">
        <f t="shared" si="93"/>
        <v>0</v>
      </c>
      <c r="Q380" s="392">
        <f t="shared" si="93"/>
        <v>0</v>
      </c>
      <c r="R380" s="392">
        <f t="shared" si="93"/>
        <v>1718</v>
      </c>
      <c r="S380" s="392">
        <f t="shared" si="93"/>
        <v>0</v>
      </c>
      <c r="U380" s="392">
        <f t="shared" si="86"/>
        <v>0</v>
      </c>
      <c r="V380" s="392">
        <f t="shared" si="86"/>
        <v>0</v>
      </c>
      <c r="W380" s="392">
        <f t="shared" si="86"/>
        <v>0</v>
      </c>
      <c r="X380" s="392">
        <f t="shared" si="86"/>
        <v>1718</v>
      </c>
      <c r="Y380" s="392">
        <f t="shared" si="86"/>
        <v>0</v>
      </c>
      <c r="AA380" s="392">
        <f t="shared" si="87"/>
        <v>0</v>
      </c>
      <c r="AB380" s="392">
        <f t="shared" si="87"/>
        <v>0</v>
      </c>
      <c r="AC380" s="392">
        <f t="shared" si="87"/>
        <v>0</v>
      </c>
      <c r="AD380" s="392">
        <f t="shared" si="87"/>
        <v>0</v>
      </c>
      <c r="AE380" s="392">
        <f t="shared" si="87"/>
        <v>0</v>
      </c>
      <c r="AG380" s="409">
        <f t="shared" si="91"/>
        <v>0</v>
      </c>
      <c r="AH380" s="409">
        <f t="shared" si="91"/>
        <v>0</v>
      </c>
      <c r="AI380" s="409">
        <f t="shared" si="91"/>
        <v>0</v>
      </c>
      <c r="AJ380" s="409">
        <f t="shared" si="91"/>
        <v>1</v>
      </c>
      <c r="AK380" s="409">
        <f t="shared" si="91"/>
        <v>0</v>
      </c>
      <c r="AN380" s="391">
        <v>1718</v>
      </c>
      <c r="AO380" s="423">
        <f t="shared" si="92"/>
        <v>0</v>
      </c>
    </row>
    <row r="381" spans="1:41">
      <c r="A381" s="391" t="s">
        <v>538</v>
      </c>
      <c r="B381" s="408">
        <v>39568</v>
      </c>
      <c r="C381" s="391" t="s">
        <v>1273</v>
      </c>
      <c r="D381" s="391" t="s">
        <v>1274</v>
      </c>
      <c r="E381" s="391" t="s">
        <v>539</v>
      </c>
      <c r="F381" s="391" t="s">
        <v>540</v>
      </c>
      <c r="G381" s="391">
        <v>20</v>
      </c>
      <c r="H381" s="392">
        <v>30760</v>
      </c>
      <c r="I381" s="392">
        <v>12304</v>
      </c>
      <c r="J381" s="392">
        <v>1538</v>
      </c>
      <c r="K381" s="391" t="s">
        <v>45</v>
      </c>
      <c r="L381" s="391" t="s">
        <v>45</v>
      </c>
      <c r="M381" s="391" t="s">
        <v>1165</v>
      </c>
      <c r="O381" s="392">
        <f t="shared" si="93"/>
        <v>0</v>
      </c>
      <c r="P381" s="392">
        <f t="shared" si="93"/>
        <v>30760</v>
      </c>
      <c r="Q381" s="392">
        <f t="shared" si="93"/>
        <v>0</v>
      </c>
      <c r="R381" s="392">
        <f t="shared" si="93"/>
        <v>0</v>
      </c>
      <c r="S381" s="392">
        <f t="shared" si="93"/>
        <v>0</v>
      </c>
      <c r="U381" s="392">
        <f t="shared" si="86"/>
        <v>0</v>
      </c>
      <c r="V381" s="392">
        <f t="shared" si="86"/>
        <v>12304</v>
      </c>
      <c r="W381" s="392">
        <f t="shared" si="86"/>
        <v>0</v>
      </c>
      <c r="X381" s="392">
        <f t="shared" si="86"/>
        <v>0</v>
      </c>
      <c r="Y381" s="392">
        <f t="shared" si="86"/>
        <v>0</v>
      </c>
      <c r="AA381" s="392">
        <f t="shared" si="87"/>
        <v>0</v>
      </c>
      <c r="AB381" s="392">
        <f t="shared" si="87"/>
        <v>1538</v>
      </c>
      <c r="AC381" s="392">
        <f t="shared" si="87"/>
        <v>0</v>
      </c>
      <c r="AD381" s="392">
        <f t="shared" si="87"/>
        <v>0</v>
      </c>
      <c r="AE381" s="392">
        <f t="shared" si="87"/>
        <v>0</v>
      </c>
      <c r="AG381" s="409">
        <f t="shared" si="91"/>
        <v>0</v>
      </c>
      <c r="AH381" s="409">
        <f t="shared" si="91"/>
        <v>1</v>
      </c>
      <c r="AI381" s="409">
        <f t="shared" si="91"/>
        <v>0</v>
      </c>
      <c r="AJ381" s="409">
        <f t="shared" si="91"/>
        <v>0</v>
      </c>
      <c r="AK381" s="409">
        <f t="shared" si="91"/>
        <v>0</v>
      </c>
      <c r="AN381" s="391">
        <v>30760</v>
      </c>
      <c r="AO381" s="423">
        <f t="shared" si="92"/>
        <v>0</v>
      </c>
    </row>
    <row r="382" spans="1:41">
      <c r="A382" s="391" t="s">
        <v>567</v>
      </c>
      <c r="B382" s="408">
        <v>39568</v>
      </c>
      <c r="C382" s="391" t="s">
        <v>1275</v>
      </c>
      <c r="D382" s="391" t="s">
        <v>1276</v>
      </c>
      <c r="E382" s="391" t="s">
        <v>539</v>
      </c>
      <c r="F382" s="391" t="s">
        <v>540</v>
      </c>
      <c r="G382" s="391">
        <v>30</v>
      </c>
      <c r="H382" s="392">
        <v>80359.490000000005</v>
      </c>
      <c r="I382" s="392">
        <v>21429.200000000001</v>
      </c>
      <c r="J382" s="392">
        <v>2678.65</v>
      </c>
      <c r="K382" s="391" t="s">
        <v>505</v>
      </c>
      <c r="L382" s="391" t="s">
        <v>505</v>
      </c>
      <c r="O382" s="392">
        <f t="shared" si="93"/>
        <v>0</v>
      </c>
      <c r="P382" s="392">
        <f t="shared" si="93"/>
        <v>0</v>
      </c>
      <c r="Q382" s="392">
        <f t="shared" si="93"/>
        <v>80359.490000000005</v>
      </c>
      <c r="R382" s="392">
        <f t="shared" si="93"/>
        <v>0</v>
      </c>
      <c r="S382" s="392">
        <f t="shared" si="93"/>
        <v>0</v>
      </c>
      <c r="U382" s="392">
        <f t="shared" si="86"/>
        <v>0</v>
      </c>
      <c r="V382" s="392">
        <f t="shared" si="86"/>
        <v>0</v>
      </c>
      <c r="W382" s="392">
        <f t="shared" si="86"/>
        <v>21429.200000000001</v>
      </c>
      <c r="X382" s="392">
        <f t="shared" si="86"/>
        <v>0</v>
      </c>
      <c r="Y382" s="392">
        <f t="shared" si="86"/>
        <v>0</v>
      </c>
      <c r="AA382" s="392">
        <f t="shared" si="87"/>
        <v>0</v>
      </c>
      <c r="AB382" s="392">
        <f t="shared" si="87"/>
        <v>0</v>
      </c>
      <c r="AC382" s="392">
        <f t="shared" si="87"/>
        <v>2678.65</v>
      </c>
      <c r="AD382" s="392">
        <f t="shared" si="87"/>
        <v>0</v>
      </c>
      <c r="AE382" s="392">
        <f t="shared" si="87"/>
        <v>0</v>
      </c>
      <c r="AG382" s="409">
        <f t="shared" si="91"/>
        <v>0</v>
      </c>
      <c r="AH382" s="409">
        <f t="shared" si="91"/>
        <v>0</v>
      </c>
      <c r="AI382" s="409">
        <f t="shared" si="91"/>
        <v>1</v>
      </c>
      <c r="AJ382" s="409">
        <f t="shared" si="91"/>
        <v>0</v>
      </c>
      <c r="AK382" s="409">
        <f t="shared" si="91"/>
        <v>0</v>
      </c>
      <c r="AN382" s="391">
        <v>80359.490000000005</v>
      </c>
      <c r="AO382" s="423">
        <f t="shared" si="92"/>
        <v>0</v>
      </c>
    </row>
    <row r="383" spans="1:41">
      <c r="A383" s="391" t="s">
        <v>567</v>
      </c>
      <c r="B383" s="408">
        <v>39568</v>
      </c>
      <c r="C383" s="391" t="s">
        <v>1277</v>
      </c>
      <c r="D383" s="391" t="s">
        <v>1276</v>
      </c>
      <c r="E383" s="391" t="s">
        <v>539</v>
      </c>
      <c r="F383" s="391" t="s">
        <v>540</v>
      </c>
      <c r="G383" s="391">
        <v>30</v>
      </c>
      <c r="H383" s="392">
        <v>10464</v>
      </c>
      <c r="I383" s="392">
        <v>2790.4</v>
      </c>
      <c r="J383" s="392">
        <v>348.8</v>
      </c>
      <c r="K383" s="391" t="s">
        <v>505</v>
      </c>
      <c r="L383" s="391" t="s">
        <v>505</v>
      </c>
      <c r="M383" s="391" t="s">
        <v>1278</v>
      </c>
      <c r="O383" s="392">
        <f t="shared" si="93"/>
        <v>0</v>
      </c>
      <c r="P383" s="392">
        <f t="shared" si="93"/>
        <v>0</v>
      </c>
      <c r="Q383" s="392">
        <f t="shared" si="93"/>
        <v>10464</v>
      </c>
      <c r="R383" s="392">
        <f t="shared" si="93"/>
        <v>0</v>
      </c>
      <c r="S383" s="392">
        <f t="shared" si="93"/>
        <v>0</v>
      </c>
      <c r="U383" s="392">
        <f t="shared" si="86"/>
        <v>0</v>
      </c>
      <c r="V383" s="392">
        <f t="shared" si="86"/>
        <v>0</v>
      </c>
      <c r="W383" s="392">
        <f t="shared" si="86"/>
        <v>2790.4</v>
      </c>
      <c r="X383" s="392">
        <f t="shared" si="86"/>
        <v>0</v>
      </c>
      <c r="Y383" s="392">
        <f t="shared" si="86"/>
        <v>0</v>
      </c>
      <c r="AA383" s="392">
        <f t="shared" si="87"/>
        <v>0</v>
      </c>
      <c r="AB383" s="392">
        <f t="shared" si="87"/>
        <v>0</v>
      </c>
      <c r="AC383" s="392">
        <f t="shared" si="87"/>
        <v>348.8</v>
      </c>
      <c r="AD383" s="392">
        <f t="shared" si="87"/>
        <v>0</v>
      </c>
      <c r="AE383" s="392">
        <f t="shared" si="87"/>
        <v>0</v>
      </c>
      <c r="AG383" s="409">
        <f t="shared" si="91"/>
        <v>0</v>
      </c>
      <c r="AH383" s="409">
        <f t="shared" si="91"/>
        <v>0</v>
      </c>
      <c r="AI383" s="409">
        <f t="shared" si="91"/>
        <v>1</v>
      </c>
      <c r="AJ383" s="409">
        <f t="shared" si="91"/>
        <v>0</v>
      </c>
      <c r="AK383" s="409">
        <f t="shared" si="91"/>
        <v>0</v>
      </c>
      <c r="AN383" s="391">
        <v>10464</v>
      </c>
      <c r="AO383" s="423">
        <f t="shared" si="92"/>
        <v>0</v>
      </c>
    </row>
    <row r="384" spans="1:41">
      <c r="A384" s="391" t="s">
        <v>616</v>
      </c>
      <c r="B384" s="408">
        <v>39568</v>
      </c>
      <c r="C384" s="391" t="s">
        <v>1279</v>
      </c>
      <c r="D384" s="391" t="s">
        <v>1280</v>
      </c>
      <c r="E384" s="391" t="s">
        <v>539</v>
      </c>
      <c r="F384" s="391" t="s">
        <v>540</v>
      </c>
      <c r="G384" s="391">
        <v>25</v>
      </c>
      <c r="H384" s="392">
        <v>43892.37</v>
      </c>
      <c r="I384" s="392">
        <v>14045.52</v>
      </c>
      <c r="J384" s="392">
        <v>1755.69</v>
      </c>
      <c r="K384" s="391" t="s">
        <v>505</v>
      </c>
      <c r="L384" s="391" t="s">
        <v>505</v>
      </c>
      <c r="O384" s="392">
        <f t="shared" si="93"/>
        <v>0</v>
      </c>
      <c r="P384" s="392">
        <f t="shared" si="93"/>
        <v>0</v>
      </c>
      <c r="Q384" s="392">
        <f t="shared" si="93"/>
        <v>43892.37</v>
      </c>
      <c r="R384" s="392">
        <f t="shared" si="93"/>
        <v>0</v>
      </c>
      <c r="S384" s="392">
        <f t="shared" si="93"/>
        <v>0</v>
      </c>
      <c r="U384" s="392">
        <f t="shared" si="86"/>
        <v>0</v>
      </c>
      <c r="V384" s="392">
        <f t="shared" si="86"/>
        <v>0</v>
      </c>
      <c r="W384" s="392">
        <f t="shared" si="86"/>
        <v>14045.52</v>
      </c>
      <c r="X384" s="392">
        <f t="shared" si="86"/>
        <v>0</v>
      </c>
      <c r="Y384" s="392">
        <f t="shared" si="86"/>
        <v>0</v>
      </c>
      <c r="AA384" s="392">
        <f t="shared" si="87"/>
        <v>0</v>
      </c>
      <c r="AB384" s="392">
        <f t="shared" si="87"/>
        <v>0</v>
      </c>
      <c r="AC384" s="392">
        <f t="shared" si="87"/>
        <v>1755.69</v>
      </c>
      <c r="AD384" s="392">
        <f t="shared" si="87"/>
        <v>0</v>
      </c>
      <c r="AE384" s="392">
        <f t="shared" si="87"/>
        <v>0</v>
      </c>
      <c r="AG384" s="409">
        <f t="shared" si="91"/>
        <v>0</v>
      </c>
      <c r="AH384" s="409">
        <f t="shared" si="91"/>
        <v>0</v>
      </c>
      <c r="AI384" s="409">
        <f t="shared" si="91"/>
        <v>1</v>
      </c>
      <c r="AJ384" s="409">
        <f t="shared" si="91"/>
        <v>0</v>
      </c>
      <c r="AK384" s="409">
        <f t="shared" si="91"/>
        <v>0</v>
      </c>
      <c r="AN384" s="391">
        <v>43892.37</v>
      </c>
      <c r="AO384" s="423">
        <f t="shared" si="92"/>
        <v>0</v>
      </c>
    </row>
    <row r="385" spans="1:41">
      <c r="A385" s="391" t="s">
        <v>585</v>
      </c>
      <c r="B385" s="408">
        <v>39568</v>
      </c>
      <c r="C385" s="391" t="s">
        <v>1281</v>
      </c>
      <c r="D385" s="391" t="s">
        <v>1282</v>
      </c>
      <c r="E385" s="391" t="s">
        <v>539</v>
      </c>
      <c r="F385" s="391" t="s">
        <v>540</v>
      </c>
      <c r="G385" s="391">
        <v>30</v>
      </c>
      <c r="H385" s="392">
        <v>399619.98</v>
      </c>
      <c r="I385" s="392">
        <v>106565.36</v>
      </c>
      <c r="J385" s="392">
        <v>13320.67</v>
      </c>
      <c r="K385" s="391" t="s">
        <v>505</v>
      </c>
      <c r="L385" s="391" t="s">
        <v>778</v>
      </c>
      <c r="O385" s="392">
        <f>$H385*AG385</f>
        <v>0</v>
      </c>
      <c r="P385" s="392">
        <f>$H385*AH385</f>
        <v>0</v>
      </c>
      <c r="Q385" s="392">
        <f>$H385*AI385</f>
        <v>399619.98</v>
      </c>
      <c r="R385" s="392">
        <f>$H385*AJ385</f>
        <v>0</v>
      </c>
      <c r="S385" s="392">
        <f>$H385*AK385</f>
        <v>0</v>
      </c>
      <c r="U385" s="392">
        <f t="shared" si="86"/>
        <v>0</v>
      </c>
      <c r="V385" s="392">
        <f t="shared" si="86"/>
        <v>0</v>
      </c>
      <c r="W385" s="392">
        <f t="shared" si="86"/>
        <v>106565.36</v>
      </c>
      <c r="X385" s="392">
        <f t="shared" si="86"/>
        <v>0</v>
      </c>
      <c r="Y385" s="392">
        <f t="shared" si="86"/>
        <v>0</v>
      </c>
      <c r="AA385" s="392">
        <f t="shared" si="87"/>
        <v>0</v>
      </c>
      <c r="AB385" s="392">
        <f t="shared" si="87"/>
        <v>0</v>
      </c>
      <c r="AC385" s="392">
        <f t="shared" si="87"/>
        <v>13320.67</v>
      </c>
      <c r="AD385" s="392">
        <f t="shared" si="87"/>
        <v>0</v>
      </c>
      <c r="AE385" s="392">
        <f t="shared" si="87"/>
        <v>0</v>
      </c>
      <c r="AG385" s="409">
        <v>0</v>
      </c>
      <c r="AH385" s="409">
        <v>0</v>
      </c>
      <c r="AI385" s="410">
        <v>1</v>
      </c>
      <c r="AJ385" s="409">
        <v>0</v>
      </c>
      <c r="AK385" s="409">
        <v>0</v>
      </c>
      <c r="AN385" s="391">
        <v>399619.98</v>
      </c>
      <c r="AO385" s="423">
        <f t="shared" si="92"/>
        <v>0</v>
      </c>
    </row>
    <row r="386" spans="1:41">
      <c r="A386" s="391" t="s">
        <v>585</v>
      </c>
      <c r="B386" s="408">
        <v>39568</v>
      </c>
      <c r="C386" s="391" t="s">
        <v>1283</v>
      </c>
      <c r="D386" s="391" t="s">
        <v>1284</v>
      </c>
      <c r="E386" s="391" t="s">
        <v>539</v>
      </c>
      <c r="F386" s="391" t="s">
        <v>540</v>
      </c>
      <c r="G386" s="391">
        <v>30</v>
      </c>
      <c r="H386" s="392">
        <v>181089.93</v>
      </c>
      <c r="I386" s="392">
        <v>48290.64</v>
      </c>
      <c r="J386" s="392">
        <v>6036.33</v>
      </c>
      <c r="K386" s="391" t="s">
        <v>45</v>
      </c>
      <c r="L386" s="391" t="s">
        <v>45</v>
      </c>
      <c r="M386" s="391" t="s">
        <v>1174</v>
      </c>
      <c r="O386" s="392">
        <f t="shared" ref="O386:S392" si="94">IF(O$8=$K386,$H386,0)</f>
        <v>0</v>
      </c>
      <c r="P386" s="392">
        <f t="shared" si="94"/>
        <v>181089.93</v>
      </c>
      <c r="Q386" s="392">
        <f t="shared" si="94"/>
        <v>0</v>
      </c>
      <c r="R386" s="392">
        <f t="shared" si="94"/>
        <v>0</v>
      </c>
      <c r="S386" s="392">
        <f t="shared" si="94"/>
        <v>0</v>
      </c>
      <c r="U386" s="392">
        <f t="shared" ref="U386:Y435" si="95">$I386*AG386</f>
        <v>0</v>
      </c>
      <c r="V386" s="392">
        <f t="shared" si="95"/>
        <v>48290.64</v>
      </c>
      <c r="W386" s="392">
        <f t="shared" si="95"/>
        <v>0</v>
      </c>
      <c r="X386" s="392">
        <f t="shared" si="95"/>
        <v>0</v>
      </c>
      <c r="Y386" s="392">
        <f t="shared" si="95"/>
        <v>0</v>
      </c>
      <c r="AA386" s="392">
        <f t="shared" ref="AA386:AE435" si="96">$J386*AG386</f>
        <v>0</v>
      </c>
      <c r="AB386" s="392">
        <f t="shared" si="96"/>
        <v>6036.33</v>
      </c>
      <c r="AC386" s="392">
        <f t="shared" si="96"/>
        <v>0</v>
      </c>
      <c r="AD386" s="392">
        <f t="shared" si="96"/>
        <v>0</v>
      </c>
      <c r="AE386" s="392">
        <f t="shared" si="96"/>
        <v>0</v>
      </c>
      <c r="AG386" s="409">
        <f t="shared" ref="AG386:AK392" si="97">IF($H386=0,0,O386/$H386)</f>
        <v>0</v>
      </c>
      <c r="AH386" s="409">
        <f t="shared" si="97"/>
        <v>1</v>
      </c>
      <c r="AI386" s="409">
        <f t="shared" si="97"/>
        <v>0</v>
      </c>
      <c r="AJ386" s="409">
        <f t="shared" si="97"/>
        <v>0</v>
      </c>
      <c r="AK386" s="409">
        <f t="shared" si="97"/>
        <v>0</v>
      </c>
      <c r="AN386" s="391">
        <v>181089.93</v>
      </c>
      <c r="AO386" s="423">
        <f t="shared" si="92"/>
        <v>0</v>
      </c>
    </row>
    <row r="387" spans="1:41">
      <c r="A387" s="391" t="s">
        <v>585</v>
      </c>
      <c r="B387" s="408">
        <v>39568</v>
      </c>
      <c r="C387" s="391" t="s">
        <v>1283</v>
      </c>
      <c r="D387" s="391" t="s">
        <v>1285</v>
      </c>
      <c r="E387" s="391" t="s">
        <v>539</v>
      </c>
      <c r="F387" s="391" t="s">
        <v>540</v>
      </c>
      <c r="G387" s="391">
        <v>30</v>
      </c>
      <c r="H387" s="392">
        <v>638408.68000000005</v>
      </c>
      <c r="I387" s="392">
        <v>170242.32</v>
      </c>
      <c r="J387" s="392">
        <v>21280.29</v>
      </c>
      <c r="K387" s="391" t="s">
        <v>505</v>
      </c>
      <c r="L387" s="391" t="s">
        <v>505</v>
      </c>
      <c r="M387" s="391" t="s">
        <v>1176</v>
      </c>
      <c r="O387" s="392">
        <f t="shared" si="94"/>
        <v>0</v>
      </c>
      <c r="P387" s="392">
        <f t="shared" si="94"/>
        <v>0</v>
      </c>
      <c r="Q387" s="392">
        <f t="shared" si="94"/>
        <v>638408.68000000005</v>
      </c>
      <c r="R387" s="392">
        <f t="shared" si="94"/>
        <v>0</v>
      </c>
      <c r="S387" s="392">
        <f t="shared" si="94"/>
        <v>0</v>
      </c>
      <c r="U387" s="392">
        <f t="shared" si="95"/>
        <v>0</v>
      </c>
      <c r="V387" s="392">
        <f t="shared" si="95"/>
        <v>0</v>
      </c>
      <c r="W387" s="392">
        <f t="shared" si="95"/>
        <v>170242.32</v>
      </c>
      <c r="X387" s="392">
        <f t="shared" si="95"/>
        <v>0</v>
      </c>
      <c r="Y387" s="392">
        <f t="shared" si="95"/>
        <v>0</v>
      </c>
      <c r="AA387" s="392">
        <f t="shared" si="96"/>
        <v>0</v>
      </c>
      <c r="AB387" s="392">
        <f t="shared" si="96"/>
        <v>0</v>
      </c>
      <c r="AC387" s="392">
        <f t="shared" si="96"/>
        <v>21280.29</v>
      </c>
      <c r="AD387" s="392">
        <f t="shared" si="96"/>
        <v>0</v>
      </c>
      <c r="AE387" s="392">
        <f t="shared" si="96"/>
        <v>0</v>
      </c>
      <c r="AG387" s="409">
        <f t="shared" si="97"/>
        <v>0</v>
      </c>
      <c r="AH387" s="409">
        <f t="shared" si="97"/>
        <v>0</v>
      </c>
      <c r="AI387" s="409">
        <f t="shared" si="97"/>
        <v>1</v>
      </c>
      <c r="AJ387" s="409">
        <f t="shared" si="97"/>
        <v>0</v>
      </c>
      <c r="AK387" s="409">
        <f t="shared" si="97"/>
        <v>0</v>
      </c>
      <c r="AN387" s="391">
        <v>638408.68000000005</v>
      </c>
      <c r="AO387" s="423">
        <f t="shared" si="92"/>
        <v>0</v>
      </c>
    </row>
    <row r="388" spans="1:41">
      <c r="A388" s="391" t="s">
        <v>572</v>
      </c>
      <c r="B388" s="408">
        <v>39568</v>
      </c>
      <c r="C388" s="391" t="s">
        <v>1286</v>
      </c>
      <c r="D388" s="391" t="s">
        <v>1287</v>
      </c>
      <c r="E388" s="391" t="s">
        <v>539</v>
      </c>
      <c r="F388" s="391" t="s">
        <v>540</v>
      </c>
      <c r="G388" s="391">
        <v>30</v>
      </c>
      <c r="H388" s="392">
        <v>839446.17</v>
      </c>
      <c r="I388" s="392">
        <v>223852.32</v>
      </c>
      <c r="J388" s="392">
        <v>27981.54</v>
      </c>
      <c r="K388" s="391" t="s">
        <v>505</v>
      </c>
      <c r="L388" s="391" t="s">
        <v>505</v>
      </c>
      <c r="O388" s="392">
        <f t="shared" si="94"/>
        <v>0</v>
      </c>
      <c r="P388" s="392">
        <f t="shared" si="94"/>
        <v>0</v>
      </c>
      <c r="Q388" s="392">
        <f t="shared" si="94"/>
        <v>839446.17</v>
      </c>
      <c r="R388" s="392">
        <f t="shared" si="94"/>
        <v>0</v>
      </c>
      <c r="S388" s="392">
        <f t="shared" si="94"/>
        <v>0</v>
      </c>
      <c r="U388" s="392">
        <f t="shared" si="95"/>
        <v>0</v>
      </c>
      <c r="V388" s="392">
        <f t="shared" si="95"/>
        <v>0</v>
      </c>
      <c r="W388" s="392">
        <f t="shared" si="95"/>
        <v>223852.32</v>
      </c>
      <c r="X388" s="392">
        <f t="shared" si="95"/>
        <v>0</v>
      </c>
      <c r="Y388" s="392">
        <f t="shared" si="95"/>
        <v>0</v>
      </c>
      <c r="AA388" s="392">
        <f t="shared" si="96"/>
        <v>0</v>
      </c>
      <c r="AB388" s="392">
        <f t="shared" si="96"/>
        <v>0</v>
      </c>
      <c r="AC388" s="392">
        <f t="shared" si="96"/>
        <v>27981.54</v>
      </c>
      <c r="AD388" s="392">
        <f t="shared" si="96"/>
        <v>0</v>
      </c>
      <c r="AE388" s="392">
        <f t="shared" si="96"/>
        <v>0</v>
      </c>
      <c r="AG388" s="409">
        <f t="shared" si="97"/>
        <v>0</v>
      </c>
      <c r="AH388" s="409">
        <f t="shared" si="97"/>
        <v>0</v>
      </c>
      <c r="AI388" s="409">
        <f t="shared" si="97"/>
        <v>1</v>
      </c>
      <c r="AJ388" s="409">
        <f t="shared" si="97"/>
        <v>0</v>
      </c>
      <c r="AK388" s="409">
        <f t="shared" si="97"/>
        <v>0</v>
      </c>
      <c r="AN388" s="391">
        <v>839446.17</v>
      </c>
      <c r="AO388" s="423">
        <f t="shared" si="92"/>
        <v>0</v>
      </c>
    </row>
    <row r="389" spans="1:41">
      <c r="A389" s="391" t="s">
        <v>632</v>
      </c>
      <c r="B389" s="408">
        <v>39568</v>
      </c>
      <c r="C389" s="391" t="s">
        <v>1288</v>
      </c>
      <c r="D389" s="391" t="s">
        <v>1289</v>
      </c>
      <c r="E389" s="391" t="s">
        <v>539</v>
      </c>
      <c r="F389" s="391" t="s">
        <v>540</v>
      </c>
      <c r="G389" s="391">
        <v>5</v>
      </c>
      <c r="H389" s="392">
        <v>0</v>
      </c>
      <c r="I389" s="392">
        <v>0</v>
      </c>
      <c r="J389" s="392">
        <v>0</v>
      </c>
      <c r="K389" s="391" t="s">
        <v>515</v>
      </c>
      <c r="L389" s="391" t="s">
        <v>515</v>
      </c>
      <c r="O389" s="392">
        <f t="shared" si="94"/>
        <v>0</v>
      </c>
      <c r="P389" s="392">
        <f t="shared" si="94"/>
        <v>0</v>
      </c>
      <c r="Q389" s="392">
        <f t="shared" si="94"/>
        <v>0</v>
      </c>
      <c r="R389" s="392">
        <f t="shared" si="94"/>
        <v>0</v>
      </c>
      <c r="S389" s="392">
        <f t="shared" si="94"/>
        <v>0</v>
      </c>
      <c r="U389" s="392">
        <f t="shared" si="95"/>
        <v>0</v>
      </c>
      <c r="V389" s="392">
        <f t="shared" si="95"/>
        <v>0</v>
      </c>
      <c r="W389" s="392">
        <f t="shared" si="95"/>
        <v>0</v>
      </c>
      <c r="X389" s="392">
        <f t="shared" si="95"/>
        <v>0</v>
      </c>
      <c r="Y389" s="392">
        <f t="shared" si="95"/>
        <v>0</v>
      </c>
      <c r="AA389" s="392">
        <f t="shared" si="96"/>
        <v>0</v>
      </c>
      <c r="AB389" s="392">
        <f t="shared" si="96"/>
        <v>0</v>
      </c>
      <c r="AC389" s="392">
        <f t="shared" si="96"/>
        <v>0</v>
      </c>
      <c r="AD389" s="392">
        <f t="shared" si="96"/>
        <v>0</v>
      </c>
      <c r="AE389" s="392">
        <f t="shared" si="96"/>
        <v>0</v>
      </c>
      <c r="AG389" s="409">
        <f t="shared" si="97"/>
        <v>0</v>
      </c>
      <c r="AH389" s="409">
        <f t="shared" si="97"/>
        <v>0</v>
      </c>
      <c r="AI389" s="409">
        <f t="shared" si="97"/>
        <v>0</v>
      </c>
      <c r="AJ389" s="409">
        <f t="shared" si="97"/>
        <v>0</v>
      </c>
      <c r="AK389" s="409">
        <f t="shared" si="97"/>
        <v>0</v>
      </c>
      <c r="AN389" s="391">
        <v>0</v>
      </c>
      <c r="AO389" s="423">
        <f t="shared" si="92"/>
        <v>0</v>
      </c>
    </row>
    <row r="390" spans="1:41">
      <c r="A390" s="391" t="s">
        <v>632</v>
      </c>
      <c r="B390" s="408">
        <v>39568</v>
      </c>
      <c r="C390" s="391" t="s">
        <v>1290</v>
      </c>
      <c r="D390" s="391" t="s">
        <v>1291</v>
      </c>
      <c r="E390" s="391" t="s">
        <v>539</v>
      </c>
      <c r="F390" s="391" t="s">
        <v>540</v>
      </c>
      <c r="G390" s="391">
        <v>5</v>
      </c>
      <c r="H390" s="392">
        <v>2460</v>
      </c>
      <c r="I390" s="392">
        <v>2460</v>
      </c>
      <c r="J390" s="392">
        <v>0</v>
      </c>
      <c r="K390" s="391" t="s">
        <v>515</v>
      </c>
      <c r="L390" s="391" t="s">
        <v>515</v>
      </c>
      <c r="O390" s="392">
        <f t="shared" si="94"/>
        <v>0</v>
      </c>
      <c r="P390" s="392">
        <f t="shared" si="94"/>
        <v>0</v>
      </c>
      <c r="Q390" s="392">
        <f t="shared" si="94"/>
        <v>0</v>
      </c>
      <c r="R390" s="392">
        <f t="shared" si="94"/>
        <v>2460</v>
      </c>
      <c r="S390" s="392">
        <f t="shared" si="94"/>
        <v>0</v>
      </c>
      <c r="U390" s="392">
        <f t="shared" si="95"/>
        <v>0</v>
      </c>
      <c r="V390" s="392">
        <f t="shared" si="95"/>
        <v>0</v>
      </c>
      <c r="W390" s="392">
        <f t="shared" si="95"/>
        <v>0</v>
      </c>
      <c r="X390" s="392">
        <f t="shared" si="95"/>
        <v>2460</v>
      </c>
      <c r="Y390" s="392">
        <f t="shared" si="95"/>
        <v>0</v>
      </c>
      <c r="AA390" s="392">
        <f t="shared" si="96"/>
        <v>0</v>
      </c>
      <c r="AB390" s="392">
        <f t="shared" si="96"/>
        <v>0</v>
      </c>
      <c r="AC390" s="392">
        <f t="shared" si="96"/>
        <v>0</v>
      </c>
      <c r="AD390" s="392">
        <f t="shared" si="96"/>
        <v>0</v>
      </c>
      <c r="AE390" s="392">
        <f t="shared" si="96"/>
        <v>0</v>
      </c>
      <c r="AG390" s="409">
        <f t="shared" si="97"/>
        <v>0</v>
      </c>
      <c r="AH390" s="409">
        <f t="shared" si="97"/>
        <v>0</v>
      </c>
      <c r="AI390" s="409">
        <f t="shared" si="97"/>
        <v>0</v>
      </c>
      <c r="AJ390" s="409">
        <f t="shared" si="97"/>
        <v>1</v>
      </c>
      <c r="AK390" s="409">
        <f t="shared" si="97"/>
        <v>0</v>
      </c>
      <c r="AN390" s="391">
        <v>2460</v>
      </c>
      <c r="AO390" s="423">
        <f t="shared" si="92"/>
        <v>0</v>
      </c>
    </row>
    <row r="391" spans="1:41">
      <c r="A391" s="391" t="s">
        <v>682</v>
      </c>
      <c r="B391" s="408">
        <v>39591</v>
      </c>
      <c r="C391" s="391" t="s">
        <v>1292</v>
      </c>
      <c r="D391" s="391" t="s">
        <v>1293</v>
      </c>
      <c r="E391" s="391" t="s">
        <v>539</v>
      </c>
      <c r="F391" s="391" t="s">
        <v>540</v>
      </c>
      <c r="G391" s="391">
        <v>5</v>
      </c>
      <c r="H391" s="392">
        <v>0</v>
      </c>
      <c r="I391" s="392">
        <v>0</v>
      </c>
      <c r="J391" s="392">
        <v>0</v>
      </c>
      <c r="K391" s="391" t="s">
        <v>515</v>
      </c>
      <c r="L391" s="391" t="s">
        <v>515</v>
      </c>
      <c r="O391" s="392">
        <f t="shared" si="94"/>
        <v>0</v>
      </c>
      <c r="P391" s="392">
        <f t="shared" si="94"/>
        <v>0</v>
      </c>
      <c r="Q391" s="392">
        <f t="shared" si="94"/>
        <v>0</v>
      </c>
      <c r="R391" s="392">
        <f t="shared" si="94"/>
        <v>0</v>
      </c>
      <c r="S391" s="392">
        <f t="shared" si="94"/>
        <v>0</v>
      </c>
      <c r="U391" s="392">
        <f t="shared" si="95"/>
        <v>0</v>
      </c>
      <c r="V391" s="392">
        <f t="shared" si="95"/>
        <v>0</v>
      </c>
      <c r="W391" s="392">
        <f t="shared" si="95"/>
        <v>0</v>
      </c>
      <c r="X391" s="392">
        <f t="shared" si="95"/>
        <v>0</v>
      </c>
      <c r="Y391" s="392">
        <f t="shared" si="95"/>
        <v>0</v>
      </c>
      <c r="AA391" s="392">
        <f t="shared" si="96"/>
        <v>0</v>
      </c>
      <c r="AB391" s="392">
        <f t="shared" si="96"/>
        <v>0</v>
      </c>
      <c r="AC391" s="392">
        <f t="shared" si="96"/>
        <v>0</v>
      </c>
      <c r="AD391" s="392">
        <f t="shared" si="96"/>
        <v>0</v>
      </c>
      <c r="AE391" s="392">
        <f t="shared" si="96"/>
        <v>0</v>
      </c>
      <c r="AG391" s="409">
        <f t="shared" si="97"/>
        <v>0</v>
      </c>
      <c r="AH391" s="409">
        <f t="shared" si="97"/>
        <v>0</v>
      </c>
      <c r="AI391" s="409">
        <f t="shared" si="97"/>
        <v>0</v>
      </c>
      <c r="AJ391" s="409">
        <f t="shared" si="97"/>
        <v>0</v>
      </c>
      <c r="AK391" s="409">
        <f t="shared" si="97"/>
        <v>0</v>
      </c>
      <c r="AN391" s="391">
        <v>0</v>
      </c>
      <c r="AO391" s="423">
        <f t="shared" si="92"/>
        <v>0</v>
      </c>
    </row>
    <row r="392" spans="1:41">
      <c r="A392" s="391" t="s">
        <v>682</v>
      </c>
      <c r="B392" s="408">
        <v>39591</v>
      </c>
      <c r="C392" s="391" t="s">
        <v>1292</v>
      </c>
      <c r="D392" s="391" t="s">
        <v>1294</v>
      </c>
      <c r="E392" s="391" t="s">
        <v>539</v>
      </c>
      <c r="F392" s="391" t="s">
        <v>540</v>
      </c>
      <c r="G392" s="391">
        <v>5</v>
      </c>
      <c r="H392" s="392">
        <v>0</v>
      </c>
      <c r="I392" s="392">
        <v>0</v>
      </c>
      <c r="J392" s="392">
        <v>0</v>
      </c>
      <c r="K392" s="391" t="s">
        <v>515</v>
      </c>
      <c r="L392" s="391" t="s">
        <v>515</v>
      </c>
      <c r="O392" s="392">
        <f t="shared" si="94"/>
        <v>0</v>
      </c>
      <c r="P392" s="392">
        <f t="shared" si="94"/>
        <v>0</v>
      </c>
      <c r="Q392" s="392">
        <f t="shared" si="94"/>
        <v>0</v>
      </c>
      <c r="R392" s="392">
        <f t="shared" si="94"/>
        <v>0</v>
      </c>
      <c r="S392" s="392">
        <f t="shared" si="94"/>
        <v>0</v>
      </c>
      <c r="U392" s="392">
        <f t="shared" si="95"/>
        <v>0</v>
      </c>
      <c r="V392" s="392">
        <f t="shared" si="95"/>
        <v>0</v>
      </c>
      <c r="W392" s="392">
        <f t="shared" si="95"/>
        <v>0</v>
      </c>
      <c r="X392" s="392">
        <f t="shared" si="95"/>
        <v>0</v>
      </c>
      <c r="Y392" s="392">
        <f t="shared" si="95"/>
        <v>0</v>
      </c>
      <c r="AA392" s="392">
        <f t="shared" si="96"/>
        <v>0</v>
      </c>
      <c r="AB392" s="392">
        <f t="shared" si="96"/>
        <v>0</v>
      </c>
      <c r="AC392" s="392">
        <f t="shared" si="96"/>
        <v>0</v>
      </c>
      <c r="AD392" s="392">
        <f t="shared" si="96"/>
        <v>0</v>
      </c>
      <c r="AE392" s="392">
        <f t="shared" si="96"/>
        <v>0</v>
      </c>
      <c r="AG392" s="409">
        <f t="shared" si="97"/>
        <v>0</v>
      </c>
      <c r="AH392" s="409">
        <f t="shared" si="97"/>
        <v>0</v>
      </c>
      <c r="AI392" s="409">
        <f t="shared" si="97"/>
        <v>0</v>
      </c>
      <c r="AJ392" s="409">
        <f t="shared" si="97"/>
        <v>0</v>
      </c>
      <c r="AK392" s="409">
        <f t="shared" si="97"/>
        <v>0</v>
      </c>
      <c r="AN392" s="391">
        <v>0</v>
      </c>
      <c r="AO392" s="423">
        <f t="shared" si="92"/>
        <v>0</v>
      </c>
    </row>
    <row r="393" spans="1:41">
      <c r="A393" s="391" t="s">
        <v>585</v>
      </c>
      <c r="B393" s="408">
        <v>39596</v>
      </c>
      <c r="C393" s="391" t="s">
        <v>1295</v>
      </c>
      <c r="D393" s="391" t="s">
        <v>1296</v>
      </c>
      <c r="E393" s="391" t="s">
        <v>539</v>
      </c>
      <c r="F393" s="391" t="s">
        <v>540</v>
      </c>
      <c r="G393" s="391">
        <v>30</v>
      </c>
      <c r="H393" s="392">
        <v>252043.38</v>
      </c>
      <c r="I393" s="392">
        <v>58810.149999999994</v>
      </c>
      <c r="J393" s="392">
        <v>8401.4500000000007</v>
      </c>
      <c r="K393" s="391" t="s">
        <v>505</v>
      </c>
      <c r="L393" s="391" t="s">
        <v>778</v>
      </c>
      <c r="O393" s="392">
        <f>$H393*AG393</f>
        <v>0</v>
      </c>
      <c r="P393" s="392">
        <f>$H393*AH393</f>
        <v>0</v>
      </c>
      <c r="Q393" s="392">
        <f>$H393*AI393</f>
        <v>252043.38</v>
      </c>
      <c r="R393" s="392">
        <f>$H393*AJ393</f>
        <v>0</v>
      </c>
      <c r="S393" s="392">
        <f>$H393*AK393</f>
        <v>0</v>
      </c>
      <c r="U393" s="392">
        <f t="shared" si="95"/>
        <v>0</v>
      </c>
      <c r="V393" s="392">
        <f t="shared" si="95"/>
        <v>0</v>
      </c>
      <c r="W393" s="392">
        <f t="shared" si="95"/>
        <v>58810.149999999994</v>
      </c>
      <c r="X393" s="392">
        <f t="shared" si="95"/>
        <v>0</v>
      </c>
      <c r="Y393" s="392">
        <f t="shared" si="95"/>
        <v>0</v>
      </c>
      <c r="AA393" s="392">
        <f t="shared" si="96"/>
        <v>0</v>
      </c>
      <c r="AB393" s="392">
        <f t="shared" si="96"/>
        <v>0</v>
      </c>
      <c r="AC393" s="392">
        <f t="shared" si="96"/>
        <v>8401.4500000000007</v>
      </c>
      <c r="AD393" s="392">
        <f t="shared" si="96"/>
        <v>0</v>
      </c>
      <c r="AE393" s="392">
        <f t="shared" si="96"/>
        <v>0</v>
      </c>
      <c r="AG393" s="409">
        <v>0</v>
      </c>
      <c r="AH393" s="409">
        <v>0</v>
      </c>
      <c r="AI393" s="410">
        <v>1</v>
      </c>
      <c r="AJ393" s="409">
        <v>0</v>
      </c>
      <c r="AK393" s="409">
        <v>0</v>
      </c>
      <c r="AN393" s="391">
        <v>252043.38</v>
      </c>
      <c r="AO393" s="423">
        <f t="shared" si="92"/>
        <v>0</v>
      </c>
    </row>
    <row r="394" spans="1:41">
      <c r="A394" s="391" t="s">
        <v>632</v>
      </c>
      <c r="B394" s="408">
        <v>39619</v>
      </c>
      <c r="C394" s="391" t="s">
        <v>1297</v>
      </c>
      <c r="D394" s="391" t="s">
        <v>1298</v>
      </c>
      <c r="E394" s="391" t="s">
        <v>539</v>
      </c>
      <c r="F394" s="391" t="s">
        <v>540</v>
      </c>
      <c r="G394" s="391">
        <v>5</v>
      </c>
      <c r="H394" s="392">
        <v>65990</v>
      </c>
      <c r="I394" s="392">
        <v>65990</v>
      </c>
      <c r="J394" s="392">
        <v>0</v>
      </c>
      <c r="K394" s="391" t="s">
        <v>515</v>
      </c>
      <c r="L394" s="391" t="s">
        <v>515</v>
      </c>
      <c r="O394" s="392">
        <f t="shared" ref="O394:S403" si="98">IF(O$8=$K394,$H394,0)</f>
        <v>0</v>
      </c>
      <c r="P394" s="392">
        <f t="shared" si="98"/>
        <v>0</v>
      </c>
      <c r="Q394" s="392">
        <f t="shared" si="98"/>
        <v>0</v>
      </c>
      <c r="R394" s="392">
        <f t="shared" si="98"/>
        <v>65990</v>
      </c>
      <c r="S394" s="392">
        <f t="shared" si="98"/>
        <v>0</v>
      </c>
      <c r="U394" s="392">
        <f t="shared" si="95"/>
        <v>0</v>
      </c>
      <c r="V394" s="392">
        <f t="shared" si="95"/>
        <v>0</v>
      </c>
      <c r="W394" s="392">
        <f t="shared" si="95"/>
        <v>0</v>
      </c>
      <c r="X394" s="392">
        <f t="shared" si="95"/>
        <v>65990</v>
      </c>
      <c r="Y394" s="392">
        <f t="shared" si="95"/>
        <v>0</v>
      </c>
      <c r="AA394" s="392">
        <f t="shared" si="96"/>
        <v>0</v>
      </c>
      <c r="AB394" s="392">
        <f t="shared" si="96"/>
        <v>0</v>
      </c>
      <c r="AC394" s="392">
        <f t="shared" si="96"/>
        <v>0</v>
      </c>
      <c r="AD394" s="392">
        <f t="shared" si="96"/>
        <v>0</v>
      </c>
      <c r="AE394" s="392">
        <f t="shared" si="96"/>
        <v>0</v>
      </c>
      <c r="AG394" s="409">
        <f t="shared" ref="AG394:AK411" si="99">IF($H394=0,0,O394/$H394)</f>
        <v>0</v>
      </c>
      <c r="AH394" s="409">
        <f t="shared" si="99"/>
        <v>0</v>
      </c>
      <c r="AI394" s="409">
        <f t="shared" si="99"/>
        <v>0</v>
      </c>
      <c r="AJ394" s="409">
        <f t="shared" si="99"/>
        <v>1</v>
      </c>
      <c r="AK394" s="409">
        <f t="shared" si="99"/>
        <v>0</v>
      </c>
      <c r="AN394" s="391">
        <v>65990</v>
      </c>
      <c r="AO394" s="423">
        <f t="shared" si="92"/>
        <v>0</v>
      </c>
    </row>
    <row r="395" spans="1:41">
      <c r="A395" s="391" t="s">
        <v>632</v>
      </c>
      <c r="B395" s="408">
        <v>39647</v>
      </c>
      <c r="C395" s="391" t="s">
        <v>1299</v>
      </c>
      <c r="D395" s="391" t="s">
        <v>1300</v>
      </c>
      <c r="E395" s="391" t="s">
        <v>539</v>
      </c>
      <c r="F395" s="391" t="s">
        <v>540</v>
      </c>
      <c r="G395" s="391">
        <v>5</v>
      </c>
      <c r="H395" s="392">
        <v>0</v>
      </c>
      <c r="I395" s="392">
        <v>0</v>
      </c>
      <c r="J395" s="392">
        <v>0</v>
      </c>
      <c r="K395" s="391" t="s">
        <v>515</v>
      </c>
      <c r="L395" s="391" t="s">
        <v>515</v>
      </c>
      <c r="O395" s="392">
        <f t="shared" si="98"/>
        <v>0</v>
      </c>
      <c r="P395" s="392">
        <f t="shared" si="98"/>
        <v>0</v>
      </c>
      <c r="Q395" s="392">
        <f t="shared" si="98"/>
        <v>0</v>
      </c>
      <c r="R395" s="392">
        <f t="shared" si="98"/>
        <v>0</v>
      </c>
      <c r="S395" s="392">
        <f t="shared" si="98"/>
        <v>0</v>
      </c>
      <c r="U395" s="392">
        <f t="shared" si="95"/>
        <v>0</v>
      </c>
      <c r="V395" s="392">
        <f t="shared" si="95"/>
        <v>0</v>
      </c>
      <c r="W395" s="392">
        <f t="shared" si="95"/>
        <v>0</v>
      </c>
      <c r="X395" s="392">
        <f t="shared" si="95"/>
        <v>0</v>
      </c>
      <c r="Y395" s="392">
        <f t="shared" si="95"/>
        <v>0</v>
      </c>
      <c r="AA395" s="392">
        <f t="shared" si="96"/>
        <v>0</v>
      </c>
      <c r="AB395" s="392">
        <f t="shared" si="96"/>
        <v>0</v>
      </c>
      <c r="AC395" s="392">
        <f t="shared" si="96"/>
        <v>0</v>
      </c>
      <c r="AD395" s="392">
        <f t="shared" si="96"/>
        <v>0</v>
      </c>
      <c r="AE395" s="392">
        <f t="shared" si="96"/>
        <v>0</v>
      </c>
      <c r="AG395" s="409">
        <f t="shared" si="99"/>
        <v>0</v>
      </c>
      <c r="AH395" s="409">
        <f t="shared" si="99"/>
        <v>0</v>
      </c>
      <c r="AI395" s="409">
        <f t="shared" si="99"/>
        <v>0</v>
      </c>
      <c r="AJ395" s="409">
        <f t="shared" si="99"/>
        <v>0</v>
      </c>
      <c r="AK395" s="409">
        <f t="shared" si="99"/>
        <v>0</v>
      </c>
      <c r="AN395" s="391">
        <v>0</v>
      </c>
      <c r="AO395" s="423">
        <f t="shared" si="92"/>
        <v>0</v>
      </c>
    </row>
    <row r="396" spans="1:41">
      <c r="A396" s="391" t="s">
        <v>646</v>
      </c>
      <c r="B396" s="408">
        <v>39661</v>
      </c>
      <c r="C396" s="391" t="s">
        <v>1301</v>
      </c>
      <c r="D396" s="391" t="s">
        <v>1302</v>
      </c>
      <c r="E396" s="391" t="s">
        <v>539</v>
      </c>
      <c r="F396" s="391" t="s">
        <v>540</v>
      </c>
      <c r="G396" s="391">
        <v>5</v>
      </c>
      <c r="H396" s="392">
        <v>133241</v>
      </c>
      <c r="I396" s="392">
        <v>133241</v>
      </c>
      <c r="J396" s="392">
        <v>0</v>
      </c>
      <c r="K396" s="391" t="s">
        <v>515</v>
      </c>
      <c r="L396" s="391" t="s">
        <v>515</v>
      </c>
      <c r="O396" s="392">
        <f t="shared" si="98"/>
        <v>0</v>
      </c>
      <c r="P396" s="392">
        <f t="shared" si="98"/>
        <v>0</v>
      </c>
      <c r="Q396" s="392">
        <f t="shared" si="98"/>
        <v>0</v>
      </c>
      <c r="R396" s="392">
        <f t="shared" si="98"/>
        <v>133241</v>
      </c>
      <c r="S396" s="392">
        <f t="shared" si="98"/>
        <v>0</v>
      </c>
      <c r="U396" s="392">
        <f t="shared" si="95"/>
        <v>0</v>
      </c>
      <c r="V396" s="392">
        <f t="shared" si="95"/>
        <v>0</v>
      </c>
      <c r="W396" s="392">
        <f t="shared" si="95"/>
        <v>0</v>
      </c>
      <c r="X396" s="392">
        <f t="shared" si="95"/>
        <v>133241</v>
      </c>
      <c r="Y396" s="392">
        <f t="shared" si="95"/>
        <v>0</v>
      </c>
      <c r="AA396" s="392">
        <f t="shared" si="96"/>
        <v>0</v>
      </c>
      <c r="AB396" s="392">
        <f t="shared" si="96"/>
        <v>0</v>
      </c>
      <c r="AC396" s="392">
        <f t="shared" si="96"/>
        <v>0</v>
      </c>
      <c r="AD396" s="392">
        <f t="shared" si="96"/>
        <v>0</v>
      </c>
      <c r="AE396" s="392">
        <f t="shared" si="96"/>
        <v>0</v>
      </c>
      <c r="AG396" s="409">
        <f t="shared" si="99"/>
        <v>0</v>
      </c>
      <c r="AH396" s="409">
        <f t="shared" si="99"/>
        <v>0</v>
      </c>
      <c r="AI396" s="409">
        <f t="shared" si="99"/>
        <v>0</v>
      </c>
      <c r="AJ396" s="409">
        <f t="shared" si="99"/>
        <v>1</v>
      </c>
      <c r="AK396" s="409">
        <f t="shared" si="99"/>
        <v>0</v>
      </c>
      <c r="AN396" s="391">
        <v>133241</v>
      </c>
      <c r="AO396" s="423">
        <f t="shared" si="92"/>
        <v>0</v>
      </c>
    </row>
    <row r="397" spans="1:41">
      <c r="A397" s="391" t="s">
        <v>646</v>
      </c>
      <c r="B397" s="408">
        <v>39661</v>
      </c>
      <c r="C397" s="391" t="s">
        <v>1303</v>
      </c>
      <c r="D397" s="391" t="s">
        <v>1304</v>
      </c>
      <c r="E397" s="391" t="s">
        <v>539</v>
      </c>
      <c r="F397" s="391" t="s">
        <v>540</v>
      </c>
      <c r="G397" s="391">
        <v>5</v>
      </c>
      <c r="H397" s="392">
        <v>25270.5</v>
      </c>
      <c r="I397" s="392">
        <v>25270.5</v>
      </c>
      <c r="J397" s="392">
        <v>0</v>
      </c>
      <c r="K397" s="391" t="s">
        <v>515</v>
      </c>
      <c r="L397" s="391" t="s">
        <v>515</v>
      </c>
      <c r="O397" s="392">
        <f t="shared" si="98"/>
        <v>0</v>
      </c>
      <c r="P397" s="392">
        <f t="shared" si="98"/>
        <v>0</v>
      </c>
      <c r="Q397" s="392">
        <f t="shared" si="98"/>
        <v>0</v>
      </c>
      <c r="R397" s="392">
        <f t="shared" si="98"/>
        <v>25270.5</v>
      </c>
      <c r="S397" s="392">
        <f t="shared" si="98"/>
        <v>0</v>
      </c>
      <c r="U397" s="392">
        <f t="shared" si="95"/>
        <v>0</v>
      </c>
      <c r="V397" s="392">
        <f t="shared" si="95"/>
        <v>0</v>
      </c>
      <c r="W397" s="392">
        <f t="shared" si="95"/>
        <v>0</v>
      </c>
      <c r="X397" s="392">
        <f t="shared" si="95"/>
        <v>25270.5</v>
      </c>
      <c r="Y397" s="392">
        <f t="shared" si="95"/>
        <v>0</v>
      </c>
      <c r="AA397" s="392">
        <f t="shared" si="96"/>
        <v>0</v>
      </c>
      <c r="AB397" s="392">
        <f t="shared" si="96"/>
        <v>0</v>
      </c>
      <c r="AC397" s="392">
        <f t="shared" si="96"/>
        <v>0</v>
      </c>
      <c r="AD397" s="392">
        <f t="shared" si="96"/>
        <v>0</v>
      </c>
      <c r="AE397" s="392">
        <f t="shared" si="96"/>
        <v>0</v>
      </c>
      <c r="AG397" s="409">
        <f t="shared" si="99"/>
        <v>0</v>
      </c>
      <c r="AH397" s="409">
        <f t="shared" si="99"/>
        <v>0</v>
      </c>
      <c r="AI397" s="409">
        <f t="shared" si="99"/>
        <v>0</v>
      </c>
      <c r="AJ397" s="409">
        <f t="shared" si="99"/>
        <v>1</v>
      </c>
      <c r="AK397" s="409">
        <f t="shared" si="99"/>
        <v>0</v>
      </c>
      <c r="AN397" s="391">
        <v>25270.5</v>
      </c>
      <c r="AO397" s="423">
        <f t="shared" si="92"/>
        <v>0</v>
      </c>
    </row>
    <row r="398" spans="1:41">
      <c r="A398" s="391" t="s">
        <v>646</v>
      </c>
      <c r="B398" s="408">
        <v>39661</v>
      </c>
      <c r="C398" s="391" t="s">
        <v>1305</v>
      </c>
      <c r="D398" s="391" t="s">
        <v>1306</v>
      </c>
      <c r="E398" s="391" t="s">
        <v>539</v>
      </c>
      <c r="F398" s="391" t="s">
        <v>540</v>
      </c>
      <c r="G398" s="391">
        <v>5</v>
      </c>
      <c r="H398" s="392">
        <v>21864.5</v>
      </c>
      <c r="I398" s="392">
        <v>21864.5</v>
      </c>
      <c r="J398" s="392">
        <v>0</v>
      </c>
      <c r="K398" s="391" t="s">
        <v>515</v>
      </c>
      <c r="L398" s="391" t="s">
        <v>515</v>
      </c>
      <c r="O398" s="392">
        <f t="shared" si="98"/>
        <v>0</v>
      </c>
      <c r="P398" s="392">
        <f t="shared" si="98"/>
        <v>0</v>
      </c>
      <c r="Q398" s="392">
        <f t="shared" si="98"/>
        <v>0</v>
      </c>
      <c r="R398" s="392">
        <f t="shared" si="98"/>
        <v>21864.5</v>
      </c>
      <c r="S398" s="392">
        <f t="shared" si="98"/>
        <v>0</v>
      </c>
      <c r="U398" s="392">
        <f t="shared" si="95"/>
        <v>0</v>
      </c>
      <c r="V398" s="392">
        <f t="shared" si="95"/>
        <v>0</v>
      </c>
      <c r="W398" s="392">
        <f t="shared" si="95"/>
        <v>0</v>
      </c>
      <c r="X398" s="392">
        <f t="shared" si="95"/>
        <v>21864.5</v>
      </c>
      <c r="Y398" s="392">
        <f t="shared" si="95"/>
        <v>0</v>
      </c>
      <c r="AA398" s="392">
        <f t="shared" si="96"/>
        <v>0</v>
      </c>
      <c r="AB398" s="392">
        <f t="shared" si="96"/>
        <v>0</v>
      </c>
      <c r="AC398" s="392">
        <f t="shared" si="96"/>
        <v>0</v>
      </c>
      <c r="AD398" s="392">
        <f t="shared" si="96"/>
        <v>0</v>
      </c>
      <c r="AE398" s="392">
        <f t="shared" si="96"/>
        <v>0</v>
      </c>
      <c r="AG398" s="409">
        <f t="shared" si="99"/>
        <v>0</v>
      </c>
      <c r="AH398" s="409">
        <f t="shared" si="99"/>
        <v>0</v>
      </c>
      <c r="AI398" s="409">
        <f t="shared" si="99"/>
        <v>0</v>
      </c>
      <c r="AJ398" s="409">
        <f t="shared" si="99"/>
        <v>1</v>
      </c>
      <c r="AK398" s="409">
        <f t="shared" si="99"/>
        <v>0</v>
      </c>
      <c r="AN398" s="391">
        <v>21864.5</v>
      </c>
      <c r="AO398" s="423">
        <f t="shared" si="92"/>
        <v>0</v>
      </c>
    </row>
    <row r="399" spans="1:41">
      <c r="A399" s="391" t="s">
        <v>632</v>
      </c>
      <c r="B399" s="408">
        <v>39689</v>
      </c>
      <c r="C399" s="391" t="s">
        <v>1307</v>
      </c>
      <c r="D399" s="391" t="s">
        <v>1308</v>
      </c>
      <c r="E399" s="391" t="s">
        <v>539</v>
      </c>
      <c r="F399" s="391" t="s">
        <v>540</v>
      </c>
      <c r="G399" s="391">
        <v>5</v>
      </c>
      <c r="H399" s="392">
        <v>8056.74</v>
      </c>
      <c r="I399" s="392">
        <v>8056.74</v>
      </c>
      <c r="J399" s="392">
        <v>0</v>
      </c>
      <c r="K399" s="391" t="s">
        <v>515</v>
      </c>
      <c r="L399" s="391" t="s">
        <v>515</v>
      </c>
      <c r="O399" s="392">
        <f t="shared" si="98"/>
        <v>0</v>
      </c>
      <c r="P399" s="392">
        <f t="shared" si="98"/>
        <v>0</v>
      </c>
      <c r="Q399" s="392">
        <f t="shared" si="98"/>
        <v>0</v>
      </c>
      <c r="R399" s="392">
        <f t="shared" si="98"/>
        <v>8056.74</v>
      </c>
      <c r="S399" s="392">
        <f t="shared" si="98"/>
        <v>0</v>
      </c>
      <c r="U399" s="392">
        <f t="shared" si="95"/>
        <v>0</v>
      </c>
      <c r="V399" s="392">
        <f t="shared" si="95"/>
        <v>0</v>
      </c>
      <c r="W399" s="392">
        <f t="shared" si="95"/>
        <v>0</v>
      </c>
      <c r="X399" s="392">
        <f t="shared" si="95"/>
        <v>8056.74</v>
      </c>
      <c r="Y399" s="392">
        <f t="shared" si="95"/>
        <v>0</v>
      </c>
      <c r="AA399" s="392">
        <f t="shared" si="96"/>
        <v>0</v>
      </c>
      <c r="AB399" s="392">
        <f t="shared" si="96"/>
        <v>0</v>
      </c>
      <c r="AC399" s="392">
        <f t="shared" si="96"/>
        <v>0</v>
      </c>
      <c r="AD399" s="392">
        <f t="shared" si="96"/>
        <v>0</v>
      </c>
      <c r="AE399" s="392">
        <f t="shared" si="96"/>
        <v>0</v>
      </c>
      <c r="AG399" s="409">
        <f t="shared" si="99"/>
        <v>0</v>
      </c>
      <c r="AH399" s="409">
        <f t="shared" si="99"/>
        <v>0</v>
      </c>
      <c r="AI399" s="409">
        <f t="shared" si="99"/>
        <v>0</v>
      </c>
      <c r="AJ399" s="409">
        <f t="shared" si="99"/>
        <v>1</v>
      </c>
      <c r="AK399" s="409">
        <f t="shared" si="99"/>
        <v>0</v>
      </c>
      <c r="AN399" s="391">
        <v>8056.74</v>
      </c>
      <c r="AO399" s="423">
        <f t="shared" si="92"/>
        <v>0</v>
      </c>
    </row>
    <row r="400" spans="1:41">
      <c r="A400" s="391" t="s">
        <v>682</v>
      </c>
      <c r="B400" s="408">
        <v>39703</v>
      </c>
      <c r="C400" s="391" t="s">
        <v>1309</v>
      </c>
      <c r="D400" s="391" t="s">
        <v>1310</v>
      </c>
      <c r="E400" s="391" t="s">
        <v>539</v>
      </c>
      <c r="F400" s="391" t="s">
        <v>540</v>
      </c>
      <c r="G400" s="391">
        <v>5</v>
      </c>
      <c r="H400" s="392">
        <v>9527</v>
      </c>
      <c r="I400" s="392">
        <v>9527</v>
      </c>
      <c r="J400" s="392">
        <v>0</v>
      </c>
      <c r="K400" s="391" t="s">
        <v>515</v>
      </c>
      <c r="L400" s="391" t="s">
        <v>515</v>
      </c>
      <c r="O400" s="392">
        <f t="shared" si="98"/>
        <v>0</v>
      </c>
      <c r="P400" s="392">
        <f t="shared" si="98"/>
        <v>0</v>
      </c>
      <c r="Q400" s="392">
        <f t="shared" si="98"/>
        <v>0</v>
      </c>
      <c r="R400" s="392">
        <f t="shared" si="98"/>
        <v>9527</v>
      </c>
      <c r="S400" s="392">
        <f t="shared" si="98"/>
        <v>0</v>
      </c>
      <c r="U400" s="392">
        <f t="shared" si="95"/>
        <v>0</v>
      </c>
      <c r="V400" s="392">
        <f t="shared" si="95"/>
        <v>0</v>
      </c>
      <c r="W400" s="392">
        <f t="shared" si="95"/>
        <v>0</v>
      </c>
      <c r="X400" s="392">
        <f t="shared" si="95"/>
        <v>9527</v>
      </c>
      <c r="Y400" s="392">
        <f t="shared" si="95"/>
        <v>0</v>
      </c>
      <c r="AA400" s="392">
        <f t="shared" si="96"/>
        <v>0</v>
      </c>
      <c r="AB400" s="392">
        <f t="shared" si="96"/>
        <v>0</v>
      </c>
      <c r="AC400" s="392">
        <f t="shared" si="96"/>
        <v>0</v>
      </c>
      <c r="AD400" s="392">
        <f t="shared" si="96"/>
        <v>0</v>
      </c>
      <c r="AE400" s="392">
        <f t="shared" si="96"/>
        <v>0</v>
      </c>
      <c r="AG400" s="409">
        <f t="shared" si="99"/>
        <v>0</v>
      </c>
      <c r="AH400" s="409">
        <f t="shared" si="99"/>
        <v>0</v>
      </c>
      <c r="AI400" s="409">
        <f t="shared" si="99"/>
        <v>0</v>
      </c>
      <c r="AJ400" s="409">
        <f t="shared" si="99"/>
        <v>1</v>
      </c>
      <c r="AK400" s="409">
        <f t="shared" si="99"/>
        <v>0</v>
      </c>
      <c r="AN400" s="391">
        <v>9527</v>
      </c>
      <c r="AO400" s="423">
        <f t="shared" si="92"/>
        <v>0</v>
      </c>
    </row>
    <row r="401" spans="1:41">
      <c r="A401" s="391" t="s">
        <v>682</v>
      </c>
      <c r="B401" s="408">
        <v>39717</v>
      </c>
      <c r="C401" s="391" t="s">
        <v>1311</v>
      </c>
      <c r="D401" s="391" t="s">
        <v>1312</v>
      </c>
      <c r="E401" s="391" t="s">
        <v>539</v>
      </c>
      <c r="F401" s="391" t="s">
        <v>540</v>
      </c>
      <c r="G401" s="391">
        <v>5</v>
      </c>
      <c r="H401" s="392">
        <v>0</v>
      </c>
      <c r="I401" s="392">
        <v>0</v>
      </c>
      <c r="J401" s="392">
        <v>0</v>
      </c>
      <c r="K401" s="391" t="s">
        <v>515</v>
      </c>
      <c r="L401" s="391" t="s">
        <v>515</v>
      </c>
      <c r="O401" s="392">
        <f t="shared" si="98"/>
        <v>0</v>
      </c>
      <c r="P401" s="392">
        <f t="shared" si="98"/>
        <v>0</v>
      </c>
      <c r="Q401" s="392">
        <f t="shared" si="98"/>
        <v>0</v>
      </c>
      <c r="R401" s="392">
        <f t="shared" si="98"/>
        <v>0</v>
      </c>
      <c r="S401" s="392">
        <f t="shared" si="98"/>
        <v>0</v>
      </c>
      <c r="U401" s="392">
        <f t="shared" si="95"/>
        <v>0</v>
      </c>
      <c r="V401" s="392">
        <f t="shared" si="95"/>
        <v>0</v>
      </c>
      <c r="W401" s="392">
        <f t="shared" si="95"/>
        <v>0</v>
      </c>
      <c r="X401" s="392">
        <f t="shared" si="95"/>
        <v>0</v>
      </c>
      <c r="Y401" s="392">
        <f t="shared" si="95"/>
        <v>0</v>
      </c>
      <c r="AA401" s="392">
        <f t="shared" si="96"/>
        <v>0</v>
      </c>
      <c r="AB401" s="392">
        <f t="shared" si="96"/>
        <v>0</v>
      </c>
      <c r="AC401" s="392">
        <f t="shared" si="96"/>
        <v>0</v>
      </c>
      <c r="AD401" s="392">
        <f t="shared" si="96"/>
        <v>0</v>
      </c>
      <c r="AE401" s="392">
        <f t="shared" si="96"/>
        <v>0</v>
      </c>
      <c r="AG401" s="409">
        <f t="shared" si="99"/>
        <v>0</v>
      </c>
      <c r="AH401" s="409">
        <f t="shared" si="99"/>
        <v>0</v>
      </c>
      <c r="AI401" s="409">
        <f t="shared" si="99"/>
        <v>0</v>
      </c>
      <c r="AJ401" s="409">
        <f t="shared" si="99"/>
        <v>0</v>
      </c>
      <c r="AK401" s="409">
        <f t="shared" si="99"/>
        <v>0</v>
      </c>
      <c r="AN401" s="391">
        <v>0</v>
      </c>
      <c r="AO401" s="423">
        <f t="shared" si="92"/>
        <v>0</v>
      </c>
    </row>
    <row r="402" spans="1:41">
      <c r="A402" s="391" t="s">
        <v>632</v>
      </c>
      <c r="B402" s="408">
        <v>39871</v>
      </c>
      <c r="C402" s="391" t="s">
        <v>1313</v>
      </c>
      <c r="D402" s="391" t="s">
        <v>1314</v>
      </c>
      <c r="E402" s="391" t="s">
        <v>539</v>
      </c>
      <c r="F402" s="391" t="s">
        <v>540</v>
      </c>
      <c r="G402" s="391">
        <v>5</v>
      </c>
      <c r="H402" s="392">
        <v>0</v>
      </c>
      <c r="I402" s="392">
        <v>0</v>
      </c>
      <c r="J402" s="392">
        <v>0</v>
      </c>
      <c r="K402" s="391" t="s">
        <v>515</v>
      </c>
      <c r="L402" s="391" t="s">
        <v>515</v>
      </c>
      <c r="O402" s="392">
        <f t="shared" si="98"/>
        <v>0</v>
      </c>
      <c r="P402" s="392">
        <f t="shared" si="98"/>
        <v>0</v>
      </c>
      <c r="Q402" s="392">
        <f t="shared" si="98"/>
        <v>0</v>
      </c>
      <c r="R402" s="392">
        <f t="shared" si="98"/>
        <v>0</v>
      </c>
      <c r="S402" s="392">
        <f t="shared" si="98"/>
        <v>0</v>
      </c>
      <c r="U402" s="392">
        <f t="shared" si="95"/>
        <v>0</v>
      </c>
      <c r="V402" s="392">
        <f t="shared" si="95"/>
        <v>0</v>
      </c>
      <c r="W402" s="392">
        <f t="shared" si="95"/>
        <v>0</v>
      </c>
      <c r="X402" s="392">
        <f t="shared" si="95"/>
        <v>0</v>
      </c>
      <c r="Y402" s="392">
        <f t="shared" si="95"/>
        <v>0</v>
      </c>
      <c r="AA402" s="392">
        <f t="shared" si="96"/>
        <v>0</v>
      </c>
      <c r="AB402" s="392">
        <f t="shared" si="96"/>
        <v>0</v>
      </c>
      <c r="AC402" s="392">
        <f t="shared" si="96"/>
        <v>0</v>
      </c>
      <c r="AD402" s="392">
        <f t="shared" si="96"/>
        <v>0</v>
      </c>
      <c r="AE402" s="392">
        <f t="shared" si="96"/>
        <v>0</v>
      </c>
      <c r="AG402" s="409">
        <f t="shared" si="99"/>
        <v>0</v>
      </c>
      <c r="AH402" s="409">
        <f t="shared" si="99"/>
        <v>0</v>
      </c>
      <c r="AI402" s="409">
        <f t="shared" si="99"/>
        <v>0</v>
      </c>
      <c r="AJ402" s="409">
        <f t="shared" si="99"/>
        <v>0</v>
      </c>
      <c r="AK402" s="409">
        <f t="shared" si="99"/>
        <v>0</v>
      </c>
      <c r="AN402" s="391">
        <v>0</v>
      </c>
      <c r="AO402" s="423">
        <f t="shared" si="92"/>
        <v>0</v>
      </c>
    </row>
    <row r="403" spans="1:41">
      <c r="A403" s="391" t="s">
        <v>646</v>
      </c>
      <c r="B403" s="408">
        <v>39885</v>
      </c>
      <c r="C403" s="391" t="s">
        <v>1315</v>
      </c>
      <c r="D403" s="391" t="s">
        <v>1316</v>
      </c>
      <c r="E403" s="391" t="s">
        <v>539</v>
      </c>
      <c r="F403" s="391" t="s">
        <v>540</v>
      </c>
      <c r="G403" s="391">
        <v>5</v>
      </c>
      <c r="H403" s="392">
        <v>110977</v>
      </c>
      <c r="I403" s="392">
        <v>110977</v>
      </c>
      <c r="J403" s="392">
        <v>0</v>
      </c>
      <c r="K403" s="391" t="s">
        <v>515</v>
      </c>
      <c r="L403" s="391" t="s">
        <v>515</v>
      </c>
      <c r="O403" s="392">
        <f t="shared" si="98"/>
        <v>0</v>
      </c>
      <c r="P403" s="392">
        <f t="shared" si="98"/>
        <v>0</v>
      </c>
      <c r="Q403" s="392">
        <f t="shared" si="98"/>
        <v>0</v>
      </c>
      <c r="R403" s="392">
        <f t="shared" si="98"/>
        <v>110977</v>
      </c>
      <c r="S403" s="392">
        <f t="shared" si="98"/>
        <v>0</v>
      </c>
      <c r="U403" s="392">
        <f t="shared" si="95"/>
        <v>0</v>
      </c>
      <c r="V403" s="392">
        <f t="shared" si="95"/>
        <v>0</v>
      </c>
      <c r="W403" s="392">
        <f t="shared" si="95"/>
        <v>0</v>
      </c>
      <c r="X403" s="392">
        <f t="shared" si="95"/>
        <v>110977</v>
      </c>
      <c r="Y403" s="392">
        <f t="shared" si="95"/>
        <v>0</v>
      </c>
      <c r="AA403" s="392">
        <f t="shared" si="96"/>
        <v>0</v>
      </c>
      <c r="AB403" s="392">
        <f t="shared" si="96"/>
        <v>0</v>
      </c>
      <c r="AC403" s="392">
        <f t="shared" si="96"/>
        <v>0</v>
      </c>
      <c r="AD403" s="392">
        <f t="shared" si="96"/>
        <v>0</v>
      </c>
      <c r="AE403" s="392">
        <f t="shared" si="96"/>
        <v>0</v>
      </c>
      <c r="AG403" s="409">
        <f t="shared" si="99"/>
        <v>0</v>
      </c>
      <c r="AH403" s="409">
        <f t="shared" si="99"/>
        <v>0</v>
      </c>
      <c r="AI403" s="409">
        <f t="shared" si="99"/>
        <v>0</v>
      </c>
      <c r="AJ403" s="409">
        <f t="shared" si="99"/>
        <v>1</v>
      </c>
      <c r="AK403" s="409">
        <f t="shared" si="99"/>
        <v>0</v>
      </c>
      <c r="AN403" s="391">
        <v>110977</v>
      </c>
      <c r="AO403" s="423">
        <f t="shared" si="92"/>
        <v>0</v>
      </c>
    </row>
    <row r="404" spans="1:41">
      <c r="A404" s="391" t="s">
        <v>632</v>
      </c>
      <c r="B404" s="408">
        <v>39885</v>
      </c>
      <c r="C404" s="391" t="s">
        <v>1317</v>
      </c>
      <c r="D404" s="391" t="s">
        <v>1318</v>
      </c>
      <c r="E404" s="391" t="s">
        <v>539</v>
      </c>
      <c r="F404" s="391" t="s">
        <v>540</v>
      </c>
      <c r="G404" s="391">
        <v>5</v>
      </c>
      <c r="H404" s="392">
        <v>0</v>
      </c>
      <c r="I404" s="392">
        <v>0</v>
      </c>
      <c r="J404" s="392">
        <v>0</v>
      </c>
      <c r="K404" s="391" t="s">
        <v>515</v>
      </c>
      <c r="L404" s="391" t="s">
        <v>515</v>
      </c>
      <c r="O404" s="392">
        <f t="shared" ref="O404:S411" si="100">IF(O$8=$K404,$H404,0)</f>
        <v>0</v>
      </c>
      <c r="P404" s="392">
        <f t="shared" si="100"/>
        <v>0</v>
      </c>
      <c r="Q404" s="392">
        <f t="shared" si="100"/>
        <v>0</v>
      </c>
      <c r="R404" s="392">
        <f t="shared" si="100"/>
        <v>0</v>
      </c>
      <c r="S404" s="392">
        <f t="shared" si="100"/>
        <v>0</v>
      </c>
      <c r="U404" s="392">
        <f t="shared" si="95"/>
        <v>0</v>
      </c>
      <c r="V404" s="392">
        <f t="shared" si="95"/>
        <v>0</v>
      </c>
      <c r="W404" s="392">
        <f t="shared" si="95"/>
        <v>0</v>
      </c>
      <c r="X404" s="392">
        <f t="shared" si="95"/>
        <v>0</v>
      </c>
      <c r="Y404" s="392">
        <f t="shared" si="95"/>
        <v>0</v>
      </c>
      <c r="AA404" s="392">
        <f t="shared" si="96"/>
        <v>0</v>
      </c>
      <c r="AB404" s="392">
        <f t="shared" si="96"/>
        <v>0</v>
      </c>
      <c r="AC404" s="392">
        <f t="shared" si="96"/>
        <v>0</v>
      </c>
      <c r="AD404" s="392">
        <f t="shared" si="96"/>
        <v>0</v>
      </c>
      <c r="AE404" s="392">
        <f t="shared" si="96"/>
        <v>0</v>
      </c>
      <c r="AG404" s="409">
        <f t="shared" si="99"/>
        <v>0</v>
      </c>
      <c r="AH404" s="409">
        <f t="shared" si="99"/>
        <v>0</v>
      </c>
      <c r="AI404" s="409">
        <f t="shared" si="99"/>
        <v>0</v>
      </c>
      <c r="AJ404" s="409">
        <f t="shared" si="99"/>
        <v>0</v>
      </c>
      <c r="AK404" s="409">
        <f t="shared" si="99"/>
        <v>0</v>
      </c>
      <c r="AN404" s="391">
        <v>0</v>
      </c>
      <c r="AO404" s="423">
        <f t="shared" si="92"/>
        <v>0</v>
      </c>
    </row>
    <row r="405" spans="1:41">
      <c r="A405" s="391" t="s">
        <v>632</v>
      </c>
      <c r="B405" s="408">
        <v>39899</v>
      </c>
      <c r="C405" s="391" t="s">
        <v>1319</v>
      </c>
      <c r="D405" s="391" t="s">
        <v>1320</v>
      </c>
      <c r="E405" s="391" t="s">
        <v>539</v>
      </c>
      <c r="F405" s="391" t="s">
        <v>540</v>
      </c>
      <c r="G405" s="391">
        <v>5</v>
      </c>
      <c r="H405" s="392">
        <v>0</v>
      </c>
      <c r="I405" s="392">
        <v>0</v>
      </c>
      <c r="J405" s="392">
        <v>0</v>
      </c>
      <c r="K405" s="391" t="s">
        <v>515</v>
      </c>
      <c r="L405" s="391" t="s">
        <v>515</v>
      </c>
      <c r="O405" s="392">
        <f t="shared" si="100"/>
        <v>0</v>
      </c>
      <c r="P405" s="392">
        <f t="shared" si="100"/>
        <v>0</v>
      </c>
      <c r="Q405" s="392">
        <f t="shared" si="100"/>
        <v>0</v>
      </c>
      <c r="R405" s="392">
        <f t="shared" si="100"/>
        <v>0</v>
      </c>
      <c r="S405" s="392">
        <f t="shared" si="100"/>
        <v>0</v>
      </c>
      <c r="U405" s="392">
        <f t="shared" si="95"/>
        <v>0</v>
      </c>
      <c r="V405" s="392">
        <f t="shared" si="95"/>
        <v>0</v>
      </c>
      <c r="W405" s="392">
        <f t="shared" si="95"/>
        <v>0</v>
      </c>
      <c r="X405" s="392">
        <f t="shared" si="95"/>
        <v>0</v>
      </c>
      <c r="Y405" s="392">
        <f t="shared" si="95"/>
        <v>0</v>
      </c>
      <c r="AA405" s="392">
        <f t="shared" si="96"/>
        <v>0</v>
      </c>
      <c r="AB405" s="392">
        <f t="shared" si="96"/>
        <v>0</v>
      </c>
      <c r="AC405" s="392">
        <f t="shared" si="96"/>
        <v>0</v>
      </c>
      <c r="AD405" s="392">
        <f t="shared" si="96"/>
        <v>0</v>
      </c>
      <c r="AE405" s="392">
        <f t="shared" si="96"/>
        <v>0</v>
      </c>
      <c r="AG405" s="409">
        <f t="shared" si="99"/>
        <v>0</v>
      </c>
      <c r="AH405" s="409">
        <f t="shared" si="99"/>
        <v>0</v>
      </c>
      <c r="AI405" s="409">
        <f t="shared" si="99"/>
        <v>0</v>
      </c>
      <c r="AJ405" s="409">
        <f t="shared" si="99"/>
        <v>0</v>
      </c>
      <c r="AK405" s="409">
        <f t="shared" si="99"/>
        <v>0</v>
      </c>
      <c r="AN405" s="391">
        <v>0</v>
      </c>
      <c r="AO405" s="423">
        <f t="shared" si="92"/>
        <v>0</v>
      </c>
    </row>
    <row r="406" spans="1:41">
      <c r="A406" s="391" t="s">
        <v>682</v>
      </c>
      <c r="B406" s="408">
        <v>39899</v>
      </c>
      <c r="C406" s="391" t="s">
        <v>1321</v>
      </c>
      <c r="D406" s="391" t="s">
        <v>1322</v>
      </c>
      <c r="E406" s="391" t="s">
        <v>539</v>
      </c>
      <c r="F406" s="391" t="s">
        <v>540</v>
      </c>
      <c r="G406" s="391">
        <v>5</v>
      </c>
      <c r="H406" s="392">
        <v>0</v>
      </c>
      <c r="I406" s="392">
        <v>0</v>
      </c>
      <c r="J406" s="392">
        <v>0</v>
      </c>
      <c r="K406" s="391" t="s">
        <v>515</v>
      </c>
      <c r="L406" s="391" t="s">
        <v>515</v>
      </c>
      <c r="O406" s="392">
        <f t="shared" si="100"/>
        <v>0</v>
      </c>
      <c r="P406" s="392">
        <f t="shared" si="100"/>
        <v>0</v>
      </c>
      <c r="Q406" s="392">
        <f t="shared" si="100"/>
        <v>0</v>
      </c>
      <c r="R406" s="392">
        <f t="shared" si="100"/>
        <v>0</v>
      </c>
      <c r="S406" s="392">
        <f t="shared" si="100"/>
        <v>0</v>
      </c>
      <c r="U406" s="392">
        <f t="shared" si="95"/>
        <v>0</v>
      </c>
      <c r="V406" s="392">
        <f t="shared" si="95"/>
        <v>0</v>
      </c>
      <c r="W406" s="392">
        <f t="shared" si="95"/>
        <v>0</v>
      </c>
      <c r="X406" s="392">
        <f t="shared" si="95"/>
        <v>0</v>
      </c>
      <c r="Y406" s="392">
        <f t="shared" si="95"/>
        <v>0</v>
      </c>
      <c r="AA406" s="392">
        <f t="shared" si="96"/>
        <v>0</v>
      </c>
      <c r="AB406" s="392">
        <f t="shared" si="96"/>
        <v>0</v>
      </c>
      <c r="AC406" s="392">
        <f t="shared" si="96"/>
        <v>0</v>
      </c>
      <c r="AD406" s="392">
        <f t="shared" si="96"/>
        <v>0</v>
      </c>
      <c r="AE406" s="392">
        <f t="shared" si="96"/>
        <v>0</v>
      </c>
      <c r="AG406" s="409">
        <f t="shared" si="99"/>
        <v>0</v>
      </c>
      <c r="AH406" s="409">
        <f t="shared" si="99"/>
        <v>0</v>
      </c>
      <c r="AI406" s="409">
        <f t="shared" si="99"/>
        <v>0</v>
      </c>
      <c r="AJ406" s="409">
        <f t="shared" si="99"/>
        <v>0</v>
      </c>
      <c r="AK406" s="409">
        <f t="shared" si="99"/>
        <v>0</v>
      </c>
      <c r="AN406" s="391">
        <v>0</v>
      </c>
      <c r="AO406" s="423">
        <f t="shared" si="92"/>
        <v>0</v>
      </c>
    </row>
    <row r="407" spans="1:41">
      <c r="A407" s="391" t="s">
        <v>682</v>
      </c>
      <c r="B407" s="408">
        <v>39899</v>
      </c>
      <c r="C407" s="391" t="s">
        <v>1321</v>
      </c>
      <c r="D407" s="391" t="s">
        <v>1323</v>
      </c>
      <c r="E407" s="391" t="s">
        <v>539</v>
      </c>
      <c r="F407" s="391" t="s">
        <v>540</v>
      </c>
      <c r="G407" s="391">
        <v>5</v>
      </c>
      <c r="H407" s="392">
        <v>0</v>
      </c>
      <c r="I407" s="392">
        <v>0</v>
      </c>
      <c r="J407" s="392">
        <v>0</v>
      </c>
      <c r="K407" s="391" t="s">
        <v>515</v>
      </c>
      <c r="L407" s="391" t="s">
        <v>515</v>
      </c>
      <c r="O407" s="392">
        <f t="shared" si="100"/>
        <v>0</v>
      </c>
      <c r="P407" s="392">
        <f t="shared" si="100"/>
        <v>0</v>
      </c>
      <c r="Q407" s="392">
        <f t="shared" si="100"/>
        <v>0</v>
      </c>
      <c r="R407" s="392">
        <f t="shared" si="100"/>
        <v>0</v>
      </c>
      <c r="S407" s="392">
        <f t="shared" si="100"/>
        <v>0</v>
      </c>
      <c r="U407" s="392">
        <f t="shared" si="95"/>
        <v>0</v>
      </c>
      <c r="V407" s="392">
        <f t="shared" si="95"/>
        <v>0</v>
      </c>
      <c r="W407" s="392">
        <f t="shared" si="95"/>
        <v>0</v>
      </c>
      <c r="X407" s="392">
        <f t="shared" si="95"/>
        <v>0</v>
      </c>
      <c r="Y407" s="392">
        <f t="shared" si="95"/>
        <v>0</v>
      </c>
      <c r="AA407" s="392">
        <f t="shared" si="96"/>
        <v>0</v>
      </c>
      <c r="AB407" s="392">
        <f t="shared" si="96"/>
        <v>0</v>
      </c>
      <c r="AC407" s="392">
        <f t="shared" si="96"/>
        <v>0</v>
      </c>
      <c r="AD407" s="392">
        <f t="shared" si="96"/>
        <v>0</v>
      </c>
      <c r="AE407" s="392">
        <f t="shared" si="96"/>
        <v>0</v>
      </c>
      <c r="AG407" s="409">
        <f t="shared" si="99"/>
        <v>0</v>
      </c>
      <c r="AH407" s="409">
        <f t="shared" si="99"/>
        <v>0</v>
      </c>
      <c r="AI407" s="409">
        <f t="shared" si="99"/>
        <v>0</v>
      </c>
      <c r="AJ407" s="409">
        <f t="shared" si="99"/>
        <v>0</v>
      </c>
      <c r="AK407" s="409">
        <f t="shared" si="99"/>
        <v>0</v>
      </c>
      <c r="AN407" s="391">
        <v>0</v>
      </c>
      <c r="AO407" s="423">
        <f t="shared" si="92"/>
        <v>0</v>
      </c>
    </row>
    <row r="408" spans="1:41">
      <c r="A408" s="391" t="s">
        <v>632</v>
      </c>
      <c r="B408" s="408">
        <v>39912</v>
      </c>
      <c r="C408" s="391" t="s">
        <v>1324</v>
      </c>
      <c r="D408" s="391" t="s">
        <v>1325</v>
      </c>
      <c r="E408" s="391" t="s">
        <v>539</v>
      </c>
      <c r="F408" s="391" t="s">
        <v>540</v>
      </c>
      <c r="G408" s="391">
        <v>5</v>
      </c>
      <c r="H408" s="392">
        <v>0</v>
      </c>
      <c r="I408" s="392">
        <v>0</v>
      </c>
      <c r="J408" s="392">
        <v>0</v>
      </c>
      <c r="K408" s="391" t="s">
        <v>515</v>
      </c>
      <c r="L408" s="391" t="s">
        <v>515</v>
      </c>
      <c r="O408" s="392">
        <f t="shared" si="100"/>
        <v>0</v>
      </c>
      <c r="P408" s="392">
        <f t="shared" si="100"/>
        <v>0</v>
      </c>
      <c r="Q408" s="392">
        <f t="shared" si="100"/>
        <v>0</v>
      </c>
      <c r="R408" s="392">
        <f t="shared" si="100"/>
        <v>0</v>
      </c>
      <c r="S408" s="392">
        <f t="shared" si="100"/>
        <v>0</v>
      </c>
      <c r="U408" s="392">
        <f t="shared" si="95"/>
        <v>0</v>
      </c>
      <c r="V408" s="392">
        <f t="shared" si="95"/>
        <v>0</v>
      </c>
      <c r="W408" s="392">
        <f t="shared" si="95"/>
        <v>0</v>
      </c>
      <c r="X408" s="392">
        <f t="shared" si="95"/>
        <v>0</v>
      </c>
      <c r="Y408" s="392">
        <f t="shared" si="95"/>
        <v>0</v>
      </c>
      <c r="AA408" s="392">
        <f t="shared" si="96"/>
        <v>0</v>
      </c>
      <c r="AB408" s="392">
        <f t="shared" si="96"/>
        <v>0</v>
      </c>
      <c r="AC408" s="392">
        <f t="shared" si="96"/>
        <v>0</v>
      </c>
      <c r="AD408" s="392">
        <f t="shared" si="96"/>
        <v>0</v>
      </c>
      <c r="AE408" s="392">
        <f t="shared" si="96"/>
        <v>0</v>
      </c>
      <c r="AG408" s="409">
        <f t="shared" si="99"/>
        <v>0</v>
      </c>
      <c r="AH408" s="409">
        <f t="shared" si="99"/>
        <v>0</v>
      </c>
      <c r="AI408" s="409">
        <f t="shared" si="99"/>
        <v>0</v>
      </c>
      <c r="AJ408" s="409">
        <f t="shared" si="99"/>
        <v>0</v>
      </c>
      <c r="AK408" s="409">
        <f t="shared" si="99"/>
        <v>0</v>
      </c>
      <c r="AN408" s="391">
        <v>0</v>
      </c>
      <c r="AO408" s="423">
        <f t="shared" si="92"/>
        <v>0</v>
      </c>
    </row>
    <row r="409" spans="1:41">
      <c r="A409" s="391" t="s">
        <v>567</v>
      </c>
      <c r="B409" s="408">
        <v>39933</v>
      </c>
      <c r="C409" s="391" t="s">
        <v>1326</v>
      </c>
      <c r="D409" s="391" t="s">
        <v>1327</v>
      </c>
      <c r="E409" s="391" t="s">
        <v>539</v>
      </c>
      <c r="F409" s="391" t="s">
        <v>540</v>
      </c>
      <c r="G409" s="391">
        <v>30</v>
      </c>
      <c r="H409" s="392">
        <v>102429.92</v>
      </c>
      <c r="I409" s="392">
        <v>23900.309999999998</v>
      </c>
      <c r="J409" s="392">
        <v>3414.33</v>
      </c>
      <c r="K409" s="391" t="s">
        <v>505</v>
      </c>
      <c r="L409" s="391" t="s">
        <v>505</v>
      </c>
      <c r="O409" s="392">
        <f t="shared" si="100"/>
        <v>0</v>
      </c>
      <c r="P409" s="392">
        <f t="shared" si="100"/>
        <v>0</v>
      </c>
      <c r="Q409" s="392">
        <f t="shared" si="100"/>
        <v>102429.92</v>
      </c>
      <c r="R409" s="392">
        <f t="shared" si="100"/>
        <v>0</v>
      </c>
      <c r="S409" s="392">
        <f t="shared" si="100"/>
        <v>0</v>
      </c>
      <c r="U409" s="392">
        <f t="shared" si="95"/>
        <v>0</v>
      </c>
      <c r="V409" s="392">
        <f t="shared" si="95"/>
        <v>0</v>
      </c>
      <c r="W409" s="392">
        <f t="shared" si="95"/>
        <v>23900.309999999998</v>
      </c>
      <c r="X409" s="392">
        <f t="shared" si="95"/>
        <v>0</v>
      </c>
      <c r="Y409" s="392">
        <f t="shared" si="95"/>
        <v>0</v>
      </c>
      <c r="AA409" s="392">
        <f t="shared" si="96"/>
        <v>0</v>
      </c>
      <c r="AB409" s="392">
        <f t="shared" si="96"/>
        <v>0</v>
      </c>
      <c r="AC409" s="392">
        <f t="shared" si="96"/>
        <v>3414.33</v>
      </c>
      <c r="AD409" s="392">
        <f t="shared" si="96"/>
        <v>0</v>
      </c>
      <c r="AE409" s="392">
        <f t="shared" si="96"/>
        <v>0</v>
      </c>
      <c r="AG409" s="409">
        <f t="shared" si="99"/>
        <v>0</v>
      </c>
      <c r="AH409" s="409">
        <f t="shared" si="99"/>
        <v>0</v>
      </c>
      <c r="AI409" s="409">
        <f t="shared" si="99"/>
        <v>1</v>
      </c>
      <c r="AJ409" s="409">
        <f t="shared" si="99"/>
        <v>0</v>
      </c>
      <c r="AK409" s="409">
        <f t="shared" si="99"/>
        <v>0</v>
      </c>
      <c r="AN409" s="391">
        <v>102429.92</v>
      </c>
      <c r="AO409" s="423">
        <f t="shared" si="92"/>
        <v>0</v>
      </c>
    </row>
    <row r="410" spans="1:41">
      <c r="A410" s="391" t="s">
        <v>567</v>
      </c>
      <c r="B410" s="408">
        <v>39933</v>
      </c>
      <c r="C410" s="391" t="s">
        <v>1328</v>
      </c>
      <c r="D410" s="391" t="s">
        <v>1329</v>
      </c>
      <c r="E410" s="391" t="s">
        <v>539</v>
      </c>
      <c r="F410" s="391" t="s">
        <v>540</v>
      </c>
      <c r="G410" s="391">
        <v>30</v>
      </c>
      <c r="H410" s="392">
        <v>162862.44</v>
      </c>
      <c r="I410" s="392">
        <v>38001.25</v>
      </c>
      <c r="J410" s="392">
        <v>5428.75</v>
      </c>
      <c r="K410" s="391" t="s">
        <v>505</v>
      </c>
      <c r="L410" s="391" t="s">
        <v>505</v>
      </c>
      <c r="M410" s="391" t="s">
        <v>1278</v>
      </c>
      <c r="O410" s="392">
        <f t="shared" si="100"/>
        <v>0</v>
      </c>
      <c r="P410" s="392">
        <f t="shared" si="100"/>
        <v>0</v>
      </c>
      <c r="Q410" s="392">
        <f t="shared" si="100"/>
        <v>162862.44</v>
      </c>
      <c r="R410" s="392">
        <f t="shared" si="100"/>
        <v>0</v>
      </c>
      <c r="S410" s="392">
        <f t="shared" si="100"/>
        <v>0</v>
      </c>
      <c r="U410" s="392">
        <f t="shared" si="95"/>
        <v>0</v>
      </c>
      <c r="V410" s="392">
        <f t="shared" si="95"/>
        <v>0</v>
      </c>
      <c r="W410" s="392">
        <f t="shared" si="95"/>
        <v>38001.25</v>
      </c>
      <c r="X410" s="392">
        <f t="shared" si="95"/>
        <v>0</v>
      </c>
      <c r="Y410" s="392">
        <f t="shared" si="95"/>
        <v>0</v>
      </c>
      <c r="AA410" s="392">
        <f t="shared" si="96"/>
        <v>0</v>
      </c>
      <c r="AB410" s="392">
        <f t="shared" si="96"/>
        <v>0</v>
      </c>
      <c r="AC410" s="392">
        <f t="shared" si="96"/>
        <v>5428.75</v>
      </c>
      <c r="AD410" s="392">
        <f t="shared" si="96"/>
        <v>0</v>
      </c>
      <c r="AE410" s="392">
        <f t="shared" si="96"/>
        <v>0</v>
      </c>
      <c r="AG410" s="409">
        <f t="shared" si="99"/>
        <v>0</v>
      </c>
      <c r="AH410" s="409">
        <f t="shared" si="99"/>
        <v>0</v>
      </c>
      <c r="AI410" s="409">
        <f t="shared" si="99"/>
        <v>1</v>
      </c>
      <c r="AJ410" s="409">
        <f t="shared" si="99"/>
        <v>0</v>
      </c>
      <c r="AK410" s="409">
        <f t="shared" si="99"/>
        <v>0</v>
      </c>
      <c r="AN410" s="391">
        <v>162862.44</v>
      </c>
      <c r="AO410" s="423">
        <f t="shared" si="92"/>
        <v>0</v>
      </c>
    </row>
    <row r="411" spans="1:41">
      <c r="A411" s="391" t="s">
        <v>616</v>
      </c>
      <c r="B411" s="408">
        <v>39933</v>
      </c>
      <c r="C411" s="391" t="s">
        <v>1330</v>
      </c>
      <c r="D411" s="391" t="s">
        <v>1331</v>
      </c>
      <c r="E411" s="391" t="s">
        <v>539</v>
      </c>
      <c r="F411" s="391" t="s">
        <v>540</v>
      </c>
      <c r="G411" s="391">
        <v>25</v>
      </c>
      <c r="H411" s="392">
        <v>48653.84</v>
      </c>
      <c r="I411" s="392">
        <v>13623.05</v>
      </c>
      <c r="J411" s="392">
        <v>1946.15</v>
      </c>
      <c r="K411" s="391" t="s">
        <v>505</v>
      </c>
      <c r="L411" s="391" t="s">
        <v>505</v>
      </c>
      <c r="O411" s="392">
        <f t="shared" si="100"/>
        <v>0</v>
      </c>
      <c r="P411" s="392">
        <f t="shared" si="100"/>
        <v>0</v>
      </c>
      <c r="Q411" s="392">
        <f t="shared" si="100"/>
        <v>48653.84</v>
      </c>
      <c r="R411" s="392">
        <f t="shared" si="100"/>
        <v>0</v>
      </c>
      <c r="S411" s="392">
        <f t="shared" si="100"/>
        <v>0</v>
      </c>
      <c r="U411" s="392">
        <f t="shared" si="95"/>
        <v>0</v>
      </c>
      <c r="V411" s="392">
        <f t="shared" si="95"/>
        <v>0</v>
      </c>
      <c r="W411" s="392">
        <f t="shared" si="95"/>
        <v>13623.05</v>
      </c>
      <c r="X411" s="392">
        <f t="shared" si="95"/>
        <v>0</v>
      </c>
      <c r="Y411" s="392">
        <f t="shared" si="95"/>
        <v>0</v>
      </c>
      <c r="AA411" s="392">
        <f t="shared" si="96"/>
        <v>0</v>
      </c>
      <c r="AB411" s="392">
        <f t="shared" si="96"/>
        <v>0</v>
      </c>
      <c r="AC411" s="392">
        <f t="shared" si="96"/>
        <v>1946.15</v>
      </c>
      <c r="AD411" s="392">
        <f t="shared" si="96"/>
        <v>0</v>
      </c>
      <c r="AE411" s="392">
        <f t="shared" si="96"/>
        <v>0</v>
      </c>
      <c r="AG411" s="409">
        <f t="shared" si="99"/>
        <v>0</v>
      </c>
      <c r="AH411" s="409">
        <f t="shared" si="99"/>
        <v>0</v>
      </c>
      <c r="AI411" s="409">
        <f t="shared" si="99"/>
        <v>1</v>
      </c>
      <c r="AJ411" s="409">
        <f t="shared" si="99"/>
        <v>0</v>
      </c>
      <c r="AK411" s="409">
        <f t="shared" si="99"/>
        <v>0</v>
      </c>
      <c r="AN411" s="391">
        <v>48653.84</v>
      </c>
      <c r="AO411" s="423">
        <f t="shared" si="92"/>
        <v>0</v>
      </c>
    </row>
    <row r="412" spans="1:41">
      <c r="A412" s="391" t="s">
        <v>585</v>
      </c>
      <c r="B412" s="408">
        <v>39933</v>
      </c>
      <c r="C412" s="391" t="s">
        <v>1332</v>
      </c>
      <c r="D412" s="391" t="s">
        <v>1333</v>
      </c>
      <c r="E412" s="391" t="s">
        <v>539</v>
      </c>
      <c r="F412" s="391" t="s">
        <v>540</v>
      </c>
      <c r="G412" s="391">
        <v>30</v>
      </c>
      <c r="H412" s="392">
        <v>229600.92</v>
      </c>
      <c r="I412" s="392">
        <v>53573.520000000004</v>
      </c>
      <c r="J412" s="392">
        <v>7653.36</v>
      </c>
      <c r="K412" s="391" t="s">
        <v>516</v>
      </c>
      <c r="L412" s="391" t="s">
        <v>516</v>
      </c>
      <c r="M412" s="391" t="s">
        <v>1334</v>
      </c>
      <c r="O412" s="414">
        <v>0</v>
      </c>
      <c r="P412" s="414">
        <v>75543</v>
      </c>
      <c r="Q412" s="414">
        <v>154058</v>
      </c>
      <c r="R412" s="414">
        <v>0</v>
      </c>
      <c r="S412" s="414">
        <v>0</v>
      </c>
      <c r="T412" s="414"/>
      <c r="U412" s="392">
        <f t="shared" si="95"/>
        <v>0</v>
      </c>
      <c r="V412" s="392">
        <f t="shared" si="95"/>
        <v>17626.690787475938</v>
      </c>
      <c r="W412" s="392">
        <f t="shared" si="95"/>
        <v>35946.847879180976</v>
      </c>
      <c r="X412" s="392">
        <f t="shared" si="95"/>
        <v>0</v>
      </c>
      <c r="Y412" s="392">
        <f t="shared" si="95"/>
        <v>0</v>
      </c>
      <c r="AA412" s="392">
        <f t="shared" si="96"/>
        <v>0</v>
      </c>
      <c r="AB412" s="392">
        <f t="shared" si="96"/>
        <v>2518.0986839251336</v>
      </c>
      <c r="AC412" s="392">
        <f t="shared" si="96"/>
        <v>5135.263982740139</v>
      </c>
      <c r="AD412" s="392">
        <f t="shared" si="96"/>
        <v>0</v>
      </c>
      <c r="AE412" s="392">
        <f t="shared" si="96"/>
        <v>0</v>
      </c>
      <c r="AG412" s="409">
        <f>O412/$H412</f>
        <v>0</v>
      </c>
      <c r="AH412" s="409">
        <f>P412/$H412</f>
        <v>0.32901871647552627</v>
      </c>
      <c r="AI412" s="409">
        <f>Q412/$H412</f>
        <v>0.67098163195513327</v>
      </c>
      <c r="AJ412" s="409">
        <f>R412/$H412</f>
        <v>0</v>
      </c>
      <c r="AK412" s="409">
        <f>S412/$H412</f>
        <v>0</v>
      </c>
      <c r="AN412" s="391">
        <v>229600.92</v>
      </c>
      <c r="AO412" s="423">
        <f t="shared" si="92"/>
        <v>0</v>
      </c>
    </row>
    <row r="413" spans="1:41">
      <c r="A413" s="391" t="s">
        <v>572</v>
      </c>
      <c r="B413" s="408">
        <v>39933</v>
      </c>
      <c r="C413" s="391" t="s">
        <v>1335</v>
      </c>
      <c r="D413" s="391" t="s">
        <v>1336</v>
      </c>
      <c r="E413" s="391" t="s">
        <v>539</v>
      </c>
      <c r="F413" s="391" t="s">
        <v>540</v>
      </c>
      <c r="G413" s="391">
        <v>30</v>
      </c>
      <c r="H413" s="392">
        <v>552240.63</v>
      </c>
      <c r="I413" s="392">
        <v>128856.14</v>
      </c>
      <c r="J413" s="392">
        <v>18408.02</v>
      </c>
      <c r="K413" s="391" t="s">
        <v>505</v>
      </c>
      <c r="L413" s="391" t="s">
        <v>505</v>
      </c>
      <c r="O413" s="392">
        <f t="shared" ref="O413:S422" si="101">IF(O$8=$K413,$H413,0)</f>
        <v>0</v>
      </c>
      <c r="P413" s="392">
        <f t="shared" si="101"/>
        <v>0</v>
      </c>
      <c r="Q413" s="392">
        <f t="shared" si="101"/>
        <v>552240.63</v>
      </c>
      <c r="R413" s="392">
        <f t="shared" si="101"/>
        <v>0</v>
      </c>
      <c r="S413" s="392">
        <f t="shared" si="101"/>
        <v>0</v>
      </c>
      <c r="U413" s="392">
        <f t="shared" si="95"/>
        <v>0</v>
      </c>
      <c r="V413" s="392">
        <f t="shared" si="95"/>
        <v>0</v>
      </c>
      <c r="W413" s="392">
        <f t="shared" si="95"/>
        <v>128856.14</v>
      </c>
      <c r="X413" s="392">
        <f t="shared" si="95"/>
        <v>0</v>
      </c>
      <c r="Y413" s="392">
        <f t="shared" si="95"/>
        <v>0</v>
      </c>
      <c r="AA413" s="392">
        <f t="shared" si="96"/>
        <v>0</v>
      </c>
      <c r="AB413" s="392">
        <f t="shared" si="96"/>
        <v>0</v>
      </c>
      <c r="AC413" s="392">
        <f t="shared" si="96"/>
        <v>18408.02</v>
      </c>
      <c r="AD413" s="392">
        <f t="shared" si="96"/>
        <v>0</v>
      </c>
      <c r="AE413" s="392">
        <f t="shared" si="96"/>
        <v>0</v>
      </c>
      <c r="AG413" s="409">
        <f t="shared" ref="AG413:AK428" si="102">IF($H413=0,0,O413/$H413)</f>
        <v>0</v>
      </c>
      <c r="AH413" s="409">
        <f t="shared" si="102"/>
        <v>0</v>
      </c>
      <c r="AI413" s="409">
        <f t="shared" si="102"/>
        <v>1</v>
      </c>
      <c r="AJ413" s="409">
        <f t="shared" si="102"/>
        <v>0</v>
      </c>
      <c r="AK413" s="409">
        <f t="shared" si="102"/>
        <v>0</v>
      </c>
      <c r="AN413" s="391">
        <v>552240.63</v>
      </c>
      <c r="AO413" s="423">
        <f t="shared" si="92"/>
        <v>0</v>
      </c>
    </row>
    <row r="414" spans="1:41">
      <c r="A414" s="391" t="s">
        <v>632</v>
      </c>
      <c r="B414" s="408">
        <v>39933</v>
      </c>
      <c r="C414" s="391" t="s">
        <v>1337</v>
      </c>
      <c r="D414" s="391" t="s">
        <v>1338</v>
      </c>
      <c r="E414" s="391" t="s">
        <v>539</v>
      </c>
      <c r="F414" s="391" t="s">
        <v>540</v>
      </c>
      <c r="G414" s="391">
        <v>5</v>
      </c>
      <c r="H414" s="392">
        <v>0</v>
      </c>
      <c r="I414" s="392">
        <v>0</v>
      </c>
      <c r="J414" s="392">
        <v>0</v>
      </c>
      <c r="K414" s="391" t="s">
        <v>515</v>
      </c>
      <c r="L414" s="391" t="s">
        <v>515</v>
      </c>
      <c r="O414" s="392">
        <f t="shared" si="101"/>
        <v>0</v>
      </c>
      <c r="P414" s="392">
        <f t="shared" si="101"/>
        <v>0</v>
      </c>
      <c r="Q414" s="392">
        <f t="shared" si="101"/>
        <v>0</v>
      </c>
      <c r="R414" s="392">
        <f t="shared" si="101"/>
        <v>0</v>
      </c>
      <c r="S414" s="392">
        <f t="shared" si="101"/>
        <v>0</v>
      </c>
      <c r="U414" s="392">
        <f t="shared" si="95"/>
        <v>0</v>
      </c>
      <c r="V414" s="392">
        <f t="shared" si="95"/>
        <v>0</v>
      </c>
      <c r="W414" s="392">
        <f t="shared" si="95"/>
        <v>0</v>
      </c>
      <c r="X414" s="392">
        <f t="shared" si="95"/>
        <v>0</v>
      </c>
      <c r="Y414" s="392">
        <f t="shared" si="95"/>
        <v>0</v>
      </c>
      <c r="AA414" s="392">
        <f t="shared" si="96"/>
        <v>0</v>
      </c>
      <c r="AB414" s="392">
        <f t="shared" si="96"/>
        <v>0</v>
      </c>
      <c r="AC414" s="392">
        <f t="shared" si="96"/>
        <v>0</v>
      </c>
      <c r="AD414" s="392">
        <f t="shared" si="96"/>
        <v>0</v>
      </c>
      <c r="AE414" s="392">
        <f t="shared" si="96"/>
        <v>0</v>
      </c>
      <c r="AG414" s="409">
        <f t="shared" si="102"/>
        <v>0</v>
      </c>
      <c r="AH414" s="409">
        <f t="shared" si="102"/>
        <v>0</v>
      </c>
      <c r="AI414" s="409">
        <f t="shared" si="102"/>
        <v>0</v>
      </c>
      <c r="AJ414" s="409">
        <f t="shared" si="102"/>
        <v>0</v>
      </c>
      <c r="AK414" s="409">
        <f t="shared" si="102"/>
        <v>0</v>
      </c>
      <c r="AN414" s="391">
        <v>0</v>
      </c>
      <c r="AO414" s="423">
        <f t="shared" si="92"/>
        <v>0</v>
      </c>
    </row>
    <row r="415" spans="1:41">
      <c r="A415" s="391" t="s">
        <v>632</v>
      </c>
      <c r="B415" s="408">
        <v>39933</v>
      </c>
      <c r="C415" s="391" t="s">
        <v>1339</v>
      </c>
      <c r="D415" s="391" t="s">
        <v>1340</v>
      </c>
      <c r="E415" s="391" t="s">
        <v>539</v>
      </c>
      <c r="F415" s="391" t="s">
        <v>540</v>
      </c>
      <c r="G415" s="391">
        <v>5</v>
      </c>
      <c r="H415" s="392">
        <v>11367.48</v>
      </c>
      <c r="I415" s="392">
        <v>11367.48</v>
      </c>
      <c r="J415" s="392">
        <v>0</v>
      </c>
      <c r="K415" s="391" t="s">
        <v>515</v>
      </c>
      <c r="L415" s="391" t="s">
        <v>515</v>
      </c>
      <c r="O415" s="392">
        <f t="shared" si="101"/>
        <v>0</v>
      </c>
      <c r="P415" s="392">
        <f t="shared" si="101"/>
        <v>0</v>
      </c>
      <c r="Q415" s="392">
        <f t="shared" si="101"/>
        <v>0</v>
      </c>
      <c r="R415" s="392">
        <f t="shared" si="101"/>
        <v>11367.48</v>
      </c>
      <c r="S415" s="392">
        <f t="shared" si="101"/>
        <v>0</v>
      </c>
      <c r="U415" s="392">
        <f t="shared" si="95"/>
        <v>0</v>
      </c>
      <c r="V415" s="392">
        <f t="shared" si="95"/>
        <v>0</v>
      </c>
      <c r="W415" s="392">
        <f t="shared" si="95"/>
        <v>0</v>
      </c>
      <c r="X415" s="392">
        <f t="shared" si="95"/>
        <v>11367.48</v>
      </c>
      <c r="Y415" s="392">
        <f t="shared" si="95"/>
        <v>0</v>
      </c>
      <c r="AA415" s="392">
        <f t="shared" si="96"/>
        <v>0</v>
      </c>
      <c r="AB415" s="392">
        <f t="shared" si="96"/>
        <v>0</v>
      </c>
      <c r="AC415" s="392">
        <f t="shared" si="96"/>
        <v>0</v>
      </c>
      <c r="AD415" s="392">
        <f t="shared" si="96"/>
        <v>0</v>
      </c>
      <c r="AE415" s="392">
        <f t="shared" si="96"/>
        <v>0</v>
      </c>
      <c r="AG415" s="409">
        <f t="shared" si="102"/>
        <v>0</v>
      </c>
      <c r="AH415" s="409">
        <f t="shared" si="102"/>
        <v>0</v>
      </c>
      <c r="AI415" s="409">
        <f t="shared" si="102"/>
        <v>0</v>
      </c>
      <c r="AJ415" s="409">
        <f t="shared" si="102"/>
        <v>1</v>
      </c>
      <c r="AK415" s="409">
        <f t="shared" si="102"/>
        <v>0</v>
      </c>
      <c r="AN415" s="391">
        <v>11367.48</v>
      </c>
      <c r="AO415" s="423">
        <f t="shared" si="92"/>
        <v>0</v>
      </c>
    </row>
    <row r="416" spans="1:41">
      <c r="A416" s="391" t="s">
        <v>682</v>
      </c>
      <c r="B416" s="408">
        <v>39933</v>
      </c>
      <c r="C416" s="391" t="s">
        <v>1341</v>
      </c>
      <c r="D416" s="391" t="s">
        <v>1342</v>
      </c>
      <c r="E416" s="391" t="s">
        <v>539</v>
      </c>
      <c r="F416" s="391" t="s">
        <v>540</v>
      </c>
      <c r="G416" s="391">
        <v>5</v>
      </c>
      <c r="H416" s="392">
        <v>25015</v>
      </c>
      <c r="I416" s="392">
        <v>25015</v>
      </c>
      <c r="J416" s="392">
        <v>0</v>
      </c>
      <c r="K416" s="391" t="s">
        <v>515</v>
      </c>
      <c r="L416" s="391" t="s">
        <v>515</v>
      </c>
      <c r="O416" s="392">
        <f t="shared" si="101"/>
        <v>0</v>
      </c>
      <c r="P416" s="392">
        <f t="shared" si="101"/>
        <v>0</v>
      </c>
      <c r="Q416" s="392">
        <f t="shared" si="101"/>
        <v>0</v>
      </c>
      <c r="R416" s="392">
        <f t="shared" si="101"/>
        <v>25015</v>
      </c>
      <c r="S416" s="392">
        <f t="shared" si="101"/>
        <v>0</v>
      </c>
      <c r="U416" s="392">
        <f t="shared" si="95"/>
        <v>0</v>
      </c>
      <c r="V416" s="392">
        <f t="shared" si="95"/>
        <v>0</v>
      </c>
      <c r="W416" s="392">
        <f t="shared" si="95"/>
        <v>0</v>
      </c>
      <c r="X416" s="392">
        <f t="shared" si="95"/>
        <v>25015</v>
      </c>
      <c r="Y416" s="392">
        <f t="shared" si="95"/>
        <v>0</v>
      </c>
      <c r="AA416" s="392">
        <f t="shared" si="96"/>
        <v>0</v>
      </c>
      <c r="AB416" s="392">
        <f t="shared" si="96"/>
        <v>0</v>
      </c>
      <c r="AC416" s="392">
        <f t="shared" si="96"/>
        <v>0</v>
      </c>
      <c r="AD416" s="392">
        <f t="shared" si="96"/>
        <v>0</v>
      </c>
      <c r="AE416" s="392">
        <f t="shared" si="96"/>
        <v>0</v>
      </c>
      <c r="AG416" s="409">
        <f t="shared" si="102"/>
        <v>0</v>
      </c>
      <c r="AH416" s="409">
        <f t="shared" si="102"/>
        <v>0</v>
      </c>
      <c r="AI416" s="409">
        <f t="shared" si="102"/>
        <v>0</v>
      </c>
      <c r="AJ416" s="409">
        <f t="shared" si="102"/>
        <v>1</v>
      </c>
      <c r="AK416" s="409">
        <f t="shared" si="102"/>
        <v>0</v>
      </c>
      <c r="AN416" s="391">
        <v>25015</v>
      </c>
      <c r="AO416" s="423">
        <f t="shared" si="92"/>
        <v>0</v>
      </c>
    </row>
    <row r="417" spans="1:41">
      <c r="A417" s="391" t="s">
        <v>646</v>
      </c>
      <c r="B417" s="408">
        <v>40025</v>
      </c>
      <c r="C417" s="391" t="s">
        <v>1343</v>
      </c>
      <c r="D417" s="391" t="s">
        <v>1344</v>
      </c>
      <c r="E417" s="391" t="s">
        <v>539</v>
      </c>
      <c r="F417" s="391" t="s">
        <v>540</v>
      </c>
      <c r="G417" s="391">
        <v>5</v>
      </c>
      <c r="H417" s="392">
        <v>51198.5</v>
      </c>
      <c r="I417" s="392">
        <v>51198.5</v>
      </c>
      <c r="J417" s="392">
        <v>0</v>
      </c>
      <c r="K417" s="391" t="s">
        <v>515</v>
      </c>
      <c r="L417" s="391" t="s">
        <v>515</v>
      </c>
      <c r="O417" s="392">
        <f t="shared" si="101"/>
        <v>0</v>
      </c>
      <c r="P417" s="392">
        <f t="shared" si="101"/>
        <v>0</v>
      </c>
      <c r="Q417" s="392">
        <f t="shared" si="101"/>
        <v>0</v>
      </c>
      <c r="R417" s="392">
        <f t="shared" si="101"/>
        <v>51198.5</v>
      </c>
      <c r="S417" s="392">
        <f t="shared" si="101"/>
        <v>0</v>
      </c>
      <c r="U417" s="392">
        <f t="shared" si="95"/>
        <v>0</v>
      </c>
      <c r="V417" s="392">
        <f t="shared" si="95"/>
        <v>0</v>
      </c>
      <c r="W417" s="392">
        <f t="shared" si="95"/>
        <v>0</v>
      </c>
      <c r="X417" s="392">
        <f t="shared" si="95"/>
        <v>51198.5</v>
      </c>
      <c r="Y417" s="392">
        <f t="shared" si="95"/>
        <v>0</v>
      </c>
      <c r="AA417" s="392">
        <f t="shared" si="96"/>
        <v>0</v>
      </c>
      <c r="AB417" s="392">
        <f t="shared" si="96"/>
        <v>0</v>
      </c>
      <c r="AC417" s="392">
        <f t="shared" si="96"/>
        <v>0</v>
      </c>
      <c r="AD417" s="392">
        <f t="shared" si="96"/>
        <v>0</v>
      </c>
      <c r="AE417" s="392">
        <f t="shared" si="96"/>
        <v>0</v>
      </c>
      <c r="AG417" s="409">
        <f t="shared" si="102"/>
        <v>0</v>
      </c>
      <c r="AH417" s="409">
        <f t="shared" si="102"/>
        <v>0</v>
      </c>
      <c r="AI417" s="409">
        <f t="shared" si="102"/>
        <v>0</v>
      </c>
      <c r="AJ417" s="409">
        <f t="shared" si="102"/>
        <v>1</v>
      </c>
      <c r="AK417" s="409">
        <f t="shared" si="102"/>
        <v>0</v>
      </c>
      <c r="AN417" s="391">
        <v>51198.5</v>
      </c>
      <c r="AO417" s="423">
        <f t="shared" si="92"/>
        <v>0</v>
      </c>
    </row>
    <row r="418" spans="1:41">
      <c r="A418" s="391" t="s">
        <v>646</v>
      </c>
      <c r="B418" s="408">
        <v>40039</v>
      </c>
      <c r="C418" s="391" t="s">
        <v>1345</v>
      </c>
      <c r="D418" s="391" t="s">
        <v>1346</v>
      </c>
      <c r="E418" s="391" t="s">
        <v>539</v>
      </c>
      <c r="F418" s="391" t="s">
        <v>540</v>
      </c>
      <c r="G418" s="391">
        <v>5</v>
      </c>
      <c r="H418" s="392">
        <v>84064</v>
      </c>
      <c r="I418" s="392">
        <v>84064</v>
      </c>
      <c r="J418" s="392">
        <v>0</v>
      </c>
      <c r="K418" s="391" t="s">
        <v>515</v>
      </c>
      <c r="L418" s="391" t="s">
        <v>515</v>
      </c>
      <c r="O418" s="392">
        <f t="shared" si="101"/>
        <v>0</v>
      </c>
      <c r="P418" s="392">
        <f t="shared" si="101"/>
        <v>0</v>
      </c>
      <c r="Q418" s="392">
        <f t="shared" si="101"/>
        <v>0</v>
      </c>
      <c r="R418" s="392">
        <f t="shared" si="101"/>
        <v>84064</v>
      </c>
      <c r="S418" s="392">
        <f t="shared" si="101"/>
        <v>0</v>
      </c>
      <c r="U418" s="392">
        <f t="shared" si="95"/>
        <v>0</v>
      </c>
      <c r="V418" s="392">
        <f t="shared" si="95"/>
        <v>0</v>
      </c>
      <c r="W418" s="392">
        <f t="shared" si="95"/>
        <v>0</v>
      </c>
      <c r="X418" s="392">
        <f t="shared" si="95"/>
        <v>84064</v>
      </c>
      <c r="Y418" s="392">
        <f t="shared" si="95"/>
        <v>0</v>
      </c>
      <c r="AA418" s="392">
        <f t="shared" si="96"/>
        <v>0</v>
      </c>
      <c r="AB418" s="392">
        <f t="shared" si="96"/>
        <v>0</v>
      </c>
      <c r="AC418" s="392">
        <f t="shared" si="96"/>
        <v>0</v>
      </c>
      <c r="AD418" s="392">
        <f t="shared" si="96"/>
        <v>0</v>
      </c>
      <c r="AE418" s="392">
        <f t="shared" si="96"/>
        <v>0</v>
      </c>
      <c r="AG418" s="409">
        <f t="shared" si="102"/>
        <v>0</v>
      </c>
      <c r="AH418" s="409">
        <f t="shared" si="102"/>
        <v>0</v>
      </c>
      <c r="AI418" s="409">
        <f t="shared" si="102"/>
        <v>0</v>
      </c>
      <c r="AJ418" s="409">
        <f t="shared" si="102"/>
        <v>1</v>
      </c>
      <c r="AK418" s="409">
        <f t="shared" si="102"/>
        <v>0</v>
      </c>
      <c r="AN418" s="391">
        <v>84064</v>
      </c>
      <c r="AO418" s="423">
        <f t="shared" si="92"/>
        <v>0</v>
      </c>
    </row>
    <row r="419" spans="1:41">
      <c r="A419" s="391" t="s">
        <v>632</v>
      </c>
      <c r="B419" s="408">
        <v>40109</v>
      </c>
      <c r="C419" s="391" t="s">
        <v>1347</v>
      </c>
      <c r="D419" s="391" t="s">
        <v>1348</v>
      </c>
      <c r="E419" s="391" t="s">
        <v>539</v>
      </c>
      <c r="F419" s="391" t="s">
        <v>540</v>
      </c>
      <c r="G419" s="391">
        <v>5</v>
      </c>
      <c r="H419" s="392">
        <v>139142.5</v>
      </c>
      <c r="I419" s="392">
        <v>139142.5</v>
      </c>
      <c r="J419" s="392">
        <v>0</v>
      </c>
      <c r="K419" s="391" t="s">
        <v>515</v>
      </c>
      <c r="L419" s="391" t="s">
        <v>515</v>
      </c>
      <c r="O419" s="392">
        <f t="shared" si="101"/>
        <v>0</v>
      </c>
      <c r="P419" s="392">
        <f t="shared" si="101"/>
        <v>0</v>
      </c>
      <c r="Q419" s="392">
        <f t="shared" si="101"/>
        <v>0</v>
      </c>
      <c r="R419" s="392">
        <f t="shared" si="101"/>
        <v>139142.5</v>
      </c>
      <c r="S419" s="392">
        <f t="shared" si="101"/>
        <v>0</v>
      </c>
      <c r="U419" s="392">
        <f t="shared" si="95"/>
        <v>0</v>
      </c>
      <c r="V419" s="392">
        <f t="shared" si="95"/>
        <v>0</v>
      </c>
      <c r="W419" s="392">
        <f t="shared" si="95"/>
        <v>0</v>
      </c>
      <c r="X419" s="392">
        <f t="shared" si="95"/>
        <v>139142.5</v>
      </c>
      <c r="Y419" s="392">
        <f t="shared" si="95"/>
        <v>0</v>
      </c>
      <c r="AA419" s="392">
        <f t="shared" si="96"/>
        <v>0</v>
      </c>
      <c r="AB419" s="392">
        <f t="shared" si="96"/>
        <v>0</v>
      </c>
      <c r="AC419" s="392">
        <f t="shared" si="96"/>
        <v>0</v>
      </c>
      <c r="AD419" s="392">
        <f t="shared" si="96"/>
        <v>0</v>
      </c>
      <c r="AE419" s="392">
        <f t="shared" si="96"/>
        <v>0</v>
      </c>
      <c r="AG419" s="409">
        <f t="shared" si="102"/>
        <v>0</v>
      </c>
      <c r="AH419" s="409">
        <f t="shared" si="102"/>
        <v>0</v>
      </c>
      <c r="AI419" s="409">
        <f t="shared" si="102"/>
        <v>0</v>
      </c>
      <c r="AJ419" s="409">
        <f t="shared" si="102"/>
        <v>1</v>
      </c>
      <c r="AK419" s="409">
        <f t="shared" si="102"/>
        <v>0</v>
      </c>
      <c r="AN419" s="391">
        <v>139142.5</v>
      </c>
      <c r="AO419" s="423">
        <f t="shared" si="92"/>
        <v>0</v>
      </c>
    </row>
    <row r="420" spans="1:41">
      <c r="A420" s="391" t="s">
        <v>632</v>
      </c>
      <c r="B420" s="408">
        <v>40165</v>
      </c>
      <c r="C420" s="391" t="s">
        <v>1349</v>
      </c>
      <c r="D420" s="391" t="s">
        <v>1350</v>
      </c>
      <c r="E420" s="391" t="s">
        <v>539</v>
      </c>
      <c r="F420" s="391" t="s">
        <v>540</v>
      </c>
      <c r="G420" s="391">
        <v>5</v>
      </c>
      <c r="H420" s="392">
        <v>0</v>
      </c>
      <c r="I420" s="392">
        <v>0</v>
      </c>
      <c r="J420" s="392">
        <v>0</v>
      </c>
      <c r="K420" s="391" t="s">
        <v>515</v>
      </c>
      <c r="L420" s="391" t="s">
        <v>515</v>
      </c>
      <c r="O420" s="392">
        <f t="shared" si="101"/>
        <v>0</v>
      </c>
      <c r="P420" s="392">
        <f t="shared" si="101"/>
        <v>0</v>
      </c>
      <c r="Q420" s="392">
        <f t="shared" si="101"/>
        <v>0</v>
      </c>
      <c r="R420" s="392">
        <f t="shared" si="101"/>
        <v>0</v>
      </c>
      <c r="S420" s="392">
        <f t="shared" si="101"/>
        <v>0</v>
      </c>
      <c r="U420" s="392">
        <f t="shared" si="95"/>
        <v>0</v>
      </c>
      <c r="V420" s="392">
        <f t="shared" si="95"/>
        <v>0</v>
      </c>
      <c r="W420" s="392">
        <f t="shared" si="95"/>
        <v>0</v>
      </c>
      <c r="X420" s="392">
        <f t="shared" si="95"/>
        <v>0</v>
      </c>
      <c r="Y420" s="392">
        <f t="shared" si="95"/>
        <v>0</v>
      </c>
      <c r="AA420" s="392">
        <f t="shared" si="96"/>
        <v>0</v>
      </c>
      <c r="AB420" s="392">
        <f t="shared" si="96"/>
        <v>0</v>
      </c>
      <c r="AC420" s="392">
        <f t="shared" si="96"/>
        <v>0</v>
      </c>
      <c r="AD420" s="392">
        <f t="shared" si="96"/>
        <v>0</v>
      </c>
      <c r="AE420" s="392">
        <f t="shared" si="96"/>
        <v>0</v>
      </c>
      <c r="AG420" s="409">
        <f t="shared" si="102"/>
        <v>0</v>
      </c>
      <c r="AH420" s="409">
        <f t="shared" si="102"/>
        <v>0</v>
      </c>
      <c r="AI420" s="409">
        <f t="shared" si="102"/>
        <v>0</v>
      </c>
      <c r="AJ420" s="409">
        <f t="shared" si="102"/>
        <v>0</v>
      </c>
      <c r="AK420" s="409">
        <f t="shared" si="102"/>
        <v>0</v>
      </c>
      <c r="AN420" s="391">
        <v>0</v>
      </c>
      <c r="AO420" s="423">
        <f t="shared" si="92"/>
        <v>0</v>
      </c>
    </row>
    <row r="421" spans="1:41">
      <c r="A421" s="391" t="s">
        <v>632</v>
      </c>
      <c r="B421" s="408">
        <v>40193</v>
      </c>
      <c r="C421" s="391" t="s">
        <v>1351</v>
      </c>
      <c r="D421" s="391" t="s">
        <v>1352</v>
      </c>
      <c r="E421" s="391" t="s">
        <v>539</v>
      </c>
      <c r="F421" s="391" t="s">
        <v>540</v>
      </c>
      <c r="G421" s="391">
        <v>5</v>
      </c>
      <c r="H421" s="392">
        <v>17648.22</v>
      </c>
      <c r="I421" s="392">
        <v>17648.22</v>
      </c>
      <c r="J421" s="392">
        <v>0</v>
      </c>
      <c r="K421" s="391" t="s">
        <v>505</v>
      </c>
      <c r="L421" s="391" t="s">
        <v>505</v>
      </c>
      <c r="O421" s="392">
        <f t="shared" si="101"/>
        <v>0</v>
      </c>
      <c r="P421" s="392">
        <f t="shared" si="101"/>
        <v>0</v>
      </c>
      <c r="Q421" s="392">
        <f t="shared" si="101"/>
        <v>17648.22</v>
      </c>
      <c r="R421" s="392">
        <f t="shared" si="101"/>
        <v>0</v>
      </c>
      <c r="S421" s="392">
        <f t="shared" si="101"/>
        <v>0</v>
      </c>
      <c r="U421" s="392">
        <f t="shared" si="95"/>
        <v>0</v>
      </c>
      <c r="V421" s="392">
        <f t="shared" si="95"/>
        <v>0</v>
      </c>
      <c r="W421" s="392">
        <f t="shared" si="95"/>
        <v>17648.22</v>
      </c>
      <c r="X421" s="392">
        <f t="shared" si="95"/>
        <v>0</v>
      </c>
      <c r="Y421" s="392">
        <f t="shared" si="95"/>
        <v>0</v>
      </c>
      <c r="AA421" s="392">
        <f t="shared" si="96"/>
        <v>0</v>
      </c>
      <c r="AB421" s="392">
        <f t="shared" si="96"/>
        <v>0</v>
      </c>
      <c r="AC421" s="392">
        <f t="shared" si="96"/>
        <v>0</v>
      </c>
      <c r="AD421" s="392">
        <f t="shared" si="96"/>
        <v>0</v>
      </c>
      <c r="AE421" s="392">
        <f t="shared" si="96"/>
        <v>0</v>
      </c>
      <c r="AG421" s="409">
        <f t="shared" si="102"/>
        <v>0</v>
      </c>
      <c r="AH421" s="409">
        <f t="shared" si="102"/>
        <v>0</v>
      </c>
      <c r="AI421" s="409">
        <f t="shared" si="102"/>
        <v>1</v>
      </c>
      <c r="AJ421" s="409">
        <f t="shared" si="102"/>
        <v>0</v>
      </c>
      <c r="AK421" s="409">
        <f t="shared" si="102"/>
        <v>0</v>
      </c>
      <c r="AN421" s="391">
        <v>17648.22</v>
      </c>
      <c r="AO421" s="423">
        <f t="shared" si="92"/>
        <v>0</v>
      </c>
    </row>
    <row r="422" spans="1:41">
      <c r="A422" s="391" t="s">
        <v>632</v>
      </c>
      <c r="B422" s="408">
        <v>40249</v>
      </c>
      <c r="C422" s="391" t="s">
        <v>1353</v>
      </c>
      <c r="D422" s="391" t="s">
        <v>1354</v>
      </c>
      <c r="E422" s="391" t="s">
        <v>539</v>
      </c>
      <c r="F422" s="391" t="s">
        <v>540</v>
      </c>
      <c r="G422" s="391">
        <v>5</v>
      </c>
      <c r="H422" s="392">
        <v>6510</v>
      </c>
      <c r="I422" s="392">
        <v>6510</v>
      </c>
      <c r="J422" s="392">
        <v>0</v>
      </c>
      <c r="K422" s="391" t="s">
        <v>515</v>
      </c>
      <c r="L422" s="391" t="s">
        <v>515</v>
      </c>
      <c r="O422" s="392">
        <f t="shared" si="101"/>
        <v>0</v>
      </c>
      <c r="P422" s="392">
        <f t="shared" si="101"/>
        <v>0</v>
      </c>
      <c r="Q422" s="392">
        <f t="shared" si="101"/>
        <v>0</v>
      </c>
      <c r="R422" s="392">
        <f t="shared" si="101"/>
        <v>6510</v>
      </c>
      <c r="S422" s="392">
        <f t="shared" si="101"/>
        <v>0</v>
      </c>
      <c r="U422" s="392">
        <f t="shared" si="95"/>
        <v>0</v>
      </c>
      <c r="V422" s="392">
        <f t="shared" si="95"/>
        <v>0</v>
      </c>
      <c r="W422" s="392">
        <f t="shared" si="95"/>
        <v>0</v>
      </c>
      <c r="X422" s="392">
        <f t="shared" si="95"/>
        <v>6510</v>
      </c>
      <c r="Y422" s="392">
        <f t="shared" si="95"/>
        <v>0</v>
      </c>
      <c r="AA422" s="392">
        <f t="shared" si="96"/>
        <v>0</v>
      </c>
      <c r="AB422" s="392">
        <f t="shared" si="96"/>
        <v>0</v>
      </c>
      <c r="AC422" s="392">
        <f t="shared" si="96"/>
        <v>0</v>
      </c>
      <c r="AD422" s="392">
        <f t="shared" si="96"/>
        <v>0</v>
      </c>
      <c r="AE422" s="392">
        <f t="shared" si="96"/>
        <v>0</v>
      </c>
      <c r="AG422" s="409">
        <f t="shared" si="102"/>
        <v>0</v>
      </c>
      <c r="AH422" s="409">
        <f t="shared" si="102"/>
        <v>0</v>
      </c>
      <c r="AI422" s="409">
        <f t="shared" si="102"/>
        <v>0</v>
      </c>
      <c r="AJ422" s="409">
        <f t="shared" si="102"/>
        <v>1</v>
      </c>
      <c r="AK422" s="409">
        <f t="shared" si="102"/>
        <v>0</v>
      </c>
      <c r="AN422" s="391">
        <v>6510</v>
      </c>
      <c r="AO422" s="423">
        <f t="shared" si="92"/>
        <v>0</v>
      </c>
    </row>
    <row r="423" spans="1:41">
      <c r="A423" s="391" t="s">
        <v>682</v>
      </c>
      <c r="B423" s="408">
        <v>40249</v>
      </c>
      <c r="C423" s="391" t="s">
        <v>1355</v>
      </c>
      <c r="D423" s="391" t="s">
        <v>1356</v>
      </c>
      <c r="E423" s="391" t="s">
        <v>539</v>
      </c>
      <c r="F423" s="391" t="s">
        <v>540</v>
      </c>
      <c r="G423" s="391">
        <v>5</v>
      </c>
      <c r="H423" s="392">
        <v>0</v>
      </c>
      <c r="I423" s="392">
        <v>0</v>
      </c>
      <c r="J423" s="392">
        <v>0</v>
      </c>
      <c r="K423" s="391" t="s">
        <v>515</v>
      </c>
      <c r="L423" s="391" t="s">
        <v>515</v>
      </c>
      <c r="O423" s="392">
        <f t="shared" ref="O423:S428" si="103">IF(O$8=$K423,$H423,0)</f>
        <v>0</v>
      </c>
      <c r="P423" s="392">
        <f t="shared" si="103"/>
        <v>0</v>
      </c>
      <c r="Q423" s="392">
        <f t="shared" si="103"/>
        <v>0</v>
      </c>
      <c r="R423" s="392">
        <f t="shared" si="103"/>
        <v>0</v>
      </c>
      <c r="S423" s="392">
        <f t="shared" si="103"/>
        <v>0</v>
      </c>
      <c r="U423" s="392">
        <f t="shared" si="95"/>
        <v>0</v>
      </c>
      <c r="V423" s="392">
        <f t="shared" si="95"/>
        <v>0</v>
      </c>
      <c r="W423" s="392">
        <f t="shared" si="95"/>
        <v>0</v>
      </c>
      <c r="X423" s="392">
        <f t="shared" si="95"/>
        <v>0</v>
      </c>
      <c r="Y423" s="392">
        <f t="shared" si="95"/>
        <v>0</v>
      </c>
      <c r="AA423" s="392">
        <f t="shared" si="96"/>
        <v>0</v>
      </c>
      <c r="AB423" s="392">
        <f t="shared" si="96"/>
        <v>0</v>
      </c>
      <c r="AC423" s="392">
        <f t="shared" si="96"/>
        <v>0</v>
      </c>
      <c r="AD423" s="392">
        <f t="shared" si="96"/>
        <v>0</v>
      </c>
      <c r="AE423" s="392">
        <f t="shared" si="96"/>
        <v>0</v>
      </c>
      <c r="AG423" s="409">
        <f t="shared" si="102"/>
        <v>0</v>
      </c>
      <c r="AH423" s="409">
        <f t="shared" si="102"/>
        <v>0</v>
      </c>
      <c r="AI423" s="409">
        <f t="shared" si="102"/>
        <v>0</v>
      </c>
      <c r="AJ423" s="409">
        <f t="shared" si="102"/>
        <v>0</v>
      </c>
      <c r="AK423" s="409">
        <f t="shared" si="102"/>
        <v>0</v>
      </c>
      <c r="AN423" s="391">
        <v>0</v>
      </c>
      <c r="AO423" s="423">
        <f t="shared" si="92"/>
        <v>0</v>
      </c>
    </row>
    <row r="424" spans="1:41">
      <c r="A424" s="391" t="s">
        <v>616</v>
      </c>
      <c r="B424" s="408">
        <v>40294</v>
      </c>
      <c r="C424" s="391" t="s">
        <v>1357</v>
      </c>
      <c r="D424" s="391" t="s">
        <v>1358</v>
      </c>
      <c r="E424" s="391" t="s">
        <v>539</v>
      </c>
      <c r="F424" s="391" t="s">
        <v>540</v>
      </c>
      <c r="G424" s="391">
        <v>25</v>
      </c>
      <c r="H424" s="392">
        <v>38332.01</v>
      </c>
      <c r="I424" s="392">
        <v>9199.68</v>
      </c>
      <c r="J424" s="392">
        <v>1533.28</v>
      </c>
      <c r="K424" s="391" t="s">
        <v>505</v>
      </c>
      <c r="L424" s="391" t="s">
        <v>505</v>
      </c>
      <c r="O424" s="392">
        <f t="shared" si="103"/>
        <v>0</v>
      </c>
      <c r="P424" s="392">
        <f t="shared" si="103"/>
        <v>0</v>
      </c>
      <c r="Q424" s="392">
        <f t="shared" si="103"/>
        <v>38332.01</v>
      </c>
      <c r="R424" s="392">
        <f t="shared" si="103"/>
        <v>0</v>
      </c>
      <c r="S424" s="392">
        <f t="shared" si="103"/>
        <v>0</v>
      </c>
      <c r="U424" s="392">
        <f t="shared" si="95"/>
        <v>0</v>
      </c>
      <c r="V424" s="392">
        <f t="shared" si="95"/>
        <v>0</v>
      </c>
      <c r="W424" s="392">
        <f t="shared" si="95"/>
        <v>9199.68</v>
      </c>
      <c r="X424" s="392">
        <f t="shared" si="95"/>
        <v>0</v>
      </c>
      <c r="Y424" s="392">
        <f t="shared" si="95"/>
        <v>0</v>
      </c>
      <c r="AA424" s="392">
        <f t="shared" si="96"/>
        <v>0</v>
      </c>
      <c r="AB424" s="392">
        <f t="shared" si="96"/>
        <v>0</v>
      </c>
      <c r="AC424" s="392">
        <f t="shared" si="96"/>
        <v>1533.28</v>
      </c>
      <c r="AD424" s="392">
        <f t="shared" si="96"/>
        <v>0</v>
      </c>
      <c r="AE424" s="392">
        <f t="shared" si="96"/>
        <v>0</v>
      </c>
      <c r="AG424" s="409">
        <f t="shared" si="102"/>
        <v>0</v>
      </c>
      <c r="AH424" s="409">
        <f t="shared" si="102"/>
        <v>0</v>
      </c>
      <c r="AI424" s="409">
        <f t="shared" si="102"/>
        <v>1</v>
      </c>
      <c r="AJ424" s="409">
        <f t="shared" si="102"/>
        <v>0</v>
      </c>
      <c r="AK424" s="409">
        <f t="shared" si="102"/>
        <v>0</v>
      </c>
      <c r="AN424" s="391">
        <v>38332.01</v>
      </c>
      <c r="AO424" s="423">
        <f t="shared" si="92"/>
        <v>0</v>
      </c>
    </row>
    <row r="425" spans="1:41">
      <c r="A425" s="391" t="s">
        <v>572</v>
      </c>
      <c r="B425" s="408">
        <v>40294</v>
      </c>
      <c r="C425" s="391" t="s">
        <v>1359</v>
      </c>
      <c r="D425" s="391" t="s">
        <v>1360</v>
      </c>
      <c r="E425" s="391" t="s">
        <v>539</v>
      </c>
      <c r="F425" s="391" t="s">
        <v>540</v>
      </c>
      <c r="G425" s="391">
        <v>30</v>
      </c>
      <c r="H425" s="392">
        <v>819395.97</v>
      </c>
      <c r="I425" s="392">
        <v>163879.20000000001</v>
      </c>
      <c r="J425" s="392">
        <v>27313.200000000001</v>
      </c>
      <c r="K425" s="391" t="s">
        <v>505</v>
      </c>
      <c r="L425" s="391" t="s">
        <v>505</v>
      </c>
      <c r="O425" s="392">
        <f t="shared" si="103"/>
        <v>0</v>
      </c>
      <c r="P425" s="392">
        <f t="shared" si="103"/>
        <v>0</v>
      </c>
      <c r="Q425" s="392">
        <f t="shared" si="103"/>
        <v>819395.97</v>
      </c>
      <c r="R425" s="392">
        <f t="shared" si="103"/>
        <v>0</v>
      </c>
      <c r="S425" s="392">
        <f t="shared" si="103"/>
        <v>0</v>
      </c>
      <c r="U425" s="392">
        <f t="shared" si="95"/>
        <v>0</v>
      </c>
      <c r="V425" s="392">
        <f t="shared" si="95"/>
        <v>0</v>
      </c>
      <c r="W425" s="392">
        <f t="shared" si="95"/>
        <v>163879.20000000001</v>
      </c>
      <c r="X425" s="392">
        <f t="shared" si="95"/>
        <v>0</v>
      </c>
      <c r="Y425" s="392">
        <f t="shared" si="95"/>
        <v>0</v>
      </c>
      <c r="AA425" s="392">
        <f t="shared" si="96"/>
        <v>0</v>
      </c>
      <c r="AB425" s="392">
        <f t="shared" si="96"/>
        <v>0</v>
      </c>
      <c r="AC425" s="392">
        <f t="shared" si="96"/>
        <v>27313.200000000001</v>
      </c>
      <c r="AD425" s="392">
        <f t="shared" si="96"/>
        <v>0</v>
      </c>
      <c r="AE425" s="392">
        <f t="shared" si="96"/>
        <v>0</v>
      </c>
      <c r="AG425" s="409">
        <f t="shared" si="102"/>
        <v>0</v>
      </c>
      <c r="AH425" s="409">
        <f t="shared" si="102"/>
        <v>0</v>
      </c>
      <c r="AI425" s="409">
        <f t="shared" si="102"/>
        <v>1</v>
      </c>
      <c r="AJ425" s="409">
        <f t="shared" si="102"/>
        <v>0</v>
      </c>
      <c r="AK425" s="409">
        <f t="shared" si="102"/>
        <v>0</v>
      </c>
      <c r="AN425" s="391">
        <v>819395.97</v>
      </c>
      <c r="AO425" s="423">
        <f t="shared" si="92"/>
        <v>0</v>
      </c>
    </row>
    <row r="426" spans="1:41">
      <c r="A426" s="391" t="s">
        <v>567</v>
      </c>
      <c r="B426" s="408">
        <v>40298</v>
      </c>
      <c r="C426" s="391" t="s">
        <v>1361</v>
      </c>
      <c r="D426" s="391" t="s">
        <v>1362</v>
      </c>
      <c r="E426" s="391" t="s">
        <v>539</v>
      </c>
      <c r="F426" s="391" t="s">
        <v>540</v>
      </c>
      <c r="G426" s="391">
        <v>30</v>
      </c>
      <c r="H426" s="392">
        <v>55294.05</v>
      </c>
      <c r="I426" s="392">
        <v>11058.84</v>
      </c>
      <c r="J426" s="392">
        <v>1843.14</v>
      </c>
      <c r="K426" s="391" t="s">
        <v>505</v>
      </c>
      <c r="L426" s="391" t="s">
        <v>505</v>
      </c>
      <c r="M426" s="391" t="s">
        <v>1278</v>
      </c>
      <c r="O426" s="392">
        <f t="shared" si="103"/>
        <v>0</v>
      </c>
      <c r="P426" s="392">
        <f t="shared" si="103"/>
        <v>0</v>
      </c>
      <c r="Q426" s="392">
        <f t="shared" si="103"/>
        <v>55294.05</v>
      </c>
      <c r="R426" s="392">
        <f t="shared" si="103"/>
        <v>0</v>
      </c>
      <c r="S426" s="392">
        <f t="shared" si="103"/>
        <v>0</v>
      </c>
      <c r="U426" s="392">
        <f t="shared" si="95"/>
        <v>0</v>
      </c>
      <c r="V426" s="392">
        <f t="shared" si="95"/>
        <v>0</v>
      </c>
      <c r="W426" s="392">
        <f t="shared" si="95"/>
        <v>11058.84</v>
      </c>
      <c r="X426" s="392">
        <f t="shared" si="95"/>
        <v>0</v>
      </c>
      <c r="Y426" s="392">
        <f t="shared" si="95"/>
        <v>0</v>
      </c>
      <c r="AA426" s="392">
        <f t="shared" si="96"/>
        <v>0</v>
      </c>
      <c r="AB426" s="392">
        <f t="shared" si="96"/>
        <v>0</v>
      </c>
      <c r="AC426" s="392">
        <f t="shared" si="96"/>
        <v>1843.14</v>
      </c>
      <c r="AD426" s="392">
        <f t="shared" si="96"/>
        <v>0</v>
      </c>
      <c r="AE426" s="392">
        <f t="shared" si="96"/>
        <v>0</v>
      </c>
      <c r="AG426" s="409">
        <f t="shared" si="102"/>
        <v>0</v>
      </c>
      <c r="AH426" s="409">
        <f t="shared" si="102"/>
        <v>0</v>
      </c>
      <c r="AI426" s="409">
        <f t="shared" si="102"/>
        <v>1</v>
      </c>
      <c r="AJ426" s="409">
        <f t="shared" si="102"/>
        <v>0</v>
      </c>
      <c r="AK426" s="409">
        <f t="shared" si="102"/>
        <v>0</v>
      </c>
      <c r="AN426" s="391">
        <v>55294.05</v>
      </c>
      <c r="AO426" s="423">
        <f t="shared" si="92"/>
        <v>0</v>
      </c>
    </row>
    <row r="427" spans="1:41">
      <c r="A427" s="391" t="s">
        <v>567</v>
      </c>
      <c r="B427" s="408">
        <v>40298</v>
      </c>
      <c r="C427" s="391" t="s">
        <v>1363</v>
      </c>
      <c r="D427" s="391" t="s">
        <v>1364</v>
      </c>
      <c r="E427" s="391" t="s">
        <v>539</v>
      </c>
      <c r="F427" s="391" t="s">
        <v>540</v>
      </c>
      <c r="G427" s="391">
        <v>30</v>
      </c>
      <c r="H427" s="392">
        <v>148025.42000000001</v>
      </c>
      <c r="I427" s="392">
        <v>29605.08</v>
      </c>
      <c r="J427" s="392">
        <v>4934.18</v>
      </c>
      <c r="K427" s="391" t="s">
        <v>505</v>
      </c>
      <c r="L427" s="391" t="s">
        <v>505</v>
      </c>
      <c r="O427" s="392">
        <f t="shared" si="103"/>
        <v>0</v>
      </c>
      <c r="P427" s="392">
        <f t="shared" si="103"/>
        <v>0</v>
      </c>
      <c r="Q427" s="392">
        <f t="shared" si="103"/>
        <v>148025.42000000001</v>
      </c>
      <c r="R427" s="392">
        <f t="shared" si="103"/>
        <v>0</v>
      </c>
      <c r="S427" s="392">
        <f t="shared" si="103"/>
        <v>0</v>
      </c>
      <c r="U427" s="392">
        <f t="shared" si="95"/>
        <v>0</v>
      </c>
      <c r="V427" s="392">
        <f t="shared" si="95"/>
        <v>0</v>
      </c>
      <c r="W427" s="392">
        <f t="shared" si="95"/>
        <v>29605.08</v>
      </c>
      <c r="X427" s="392">
        <f t="shared" si="95"/>
        <v>0</v>
      </c>
      <c r="Y427" s="392">
        <f t="shared" si="95"/>
        <v>0</v>
      </c>
      <c r="AA427" s="392">
        <f t="shared" si="96"/>
        <v>0</v>
      </c>
      <c r="AB427" s="392">
        <f t="shared" si="96"/>
        <v>0</v>
      </c>
      <c r="AC427" s="392">
        <f t="shared" si="96"/>
        <v>4934.18</v>
      </c>
      <c r="AD427" s="392">
        <f t="shared" si="96"/>
        <v>0</v>
      </c>
      <c r="AE427" s="392">
        <f t="shared" si="96"/>
        <v>0</v>
      </c>
      <c r="AG427" s="409">
        <f t="shared" si="102"/>
        <v>0</v>
      </c>
      <c r="AH427" s="409">
        <f t="shared" si="102"/>
        <v>0</v>
      </c>
      <c r="AI427" s="409">
        <f t="shared" si="102"/>
        <v>1</v>
      </c>
      <c r="AJ427" s="409">
        <f t="shared" si="102"/>
        <v>0</v>
      </c>
      <c r="AK427" s="409">
        <f t="shared" si="102"/>
        <v>0</v>
      </c>
      <c r="AN427" s="391">
        <v>148025.42000000001</v>
      </c>
      <c r="AO427" s="423">
        <f t="shared" ref="AO427:AO489" si="104">H427-AN427</f>
        <v>0</v>
      </c>
    </row>
    <row r="428" spans="1:41">
      <c r="A428" s="391" t="s">
        <v>585</v>
      </c>
      <c r="B428" s="408">
        <v>40298</v>
      </c>
      <c r="C428" s="391" t="s">
        <v>1365</v>
      </c>
      <c r="D428" s="391" t="s">
        <v>1366</v>
      </c>
      <c r="E428" s="391" t="s">
        <v>539</v>
      </c>
      <c r="F428" s="391" t="s">
        <v>540</v>
      </c>
      <c r="G428" s="391">
        <v>30</v>
      </c>
      <c r="H428" s="392">
        <v>149200</v>
      </c>
      <c r="I428" s="392">
        <v>29839.980000000003</v>
      </c>
      <c r="J428" s="392">
        <v>4973.33</v>
      </c>
      <c r="K428" s="391" t="s">
        <v>45</v>
      </c>
      <c r="L428" s="391" t="s">
        <v>45</v>
      </c>
      <c r="O428" s="392">
        <f t="shared" si="103"/>
        <v>0</v>
      </c>
      <c r="P428" s="392">
        <f t="shared" si="103"/>
        <v>149200</v>
      </c>
      <c r="Q428" s="392">
        <f t="shared" si="103"/>
        <v>0</v>
      </c>
      <c r="R428" s="392">
        <f t="shared" si="103"/>
        <v>0</v>
      </c>
      <c r="S428" s="392">
        <f t="shared" si="103"/>
        <v>0</v>
      </c>
      <c r="U428" s="392">
        <f t="shared" si="95"/>
        <v>0</v>
      </c>
      <c r="V428" s="392">
        <f t="shared" si="95"/>
        <v>29839.980000000003</v>
      </c>
      <c r="W428" s="392">
        <f t="shared" si="95"/>
        <v>0</v>
      </c>
      <c r="X428" s="392">
        <f t="shared" si="95"/>
        <v>0</v>
      </c>
      <c r="Y428" s="392">
        <f t="shared" si="95"/>
        <v>0</v>
      </c>
      <c r="AA428" s="392">
        <f t="shared" si="96"/>
        <v>0</v>
      </c>
      <c r="AB428" s="392">
        <f t="shared" si="96"/>
        <v>4973.33</v>
      </c>
      <c r="AC428" s="392">
        <f t="shared" si="96"/>
        <v>0</v>
      </c>
      <c r="AD428" s="392">
        <f t="shared" si="96"/>
        <v>0</v>
      </c>
      <c r="AE428" s="392">
        <f t="shared" si="96"/>
        <v>0</v>
      </c>
      <c r="AG428" s="409">
        <f t="shared" si="102"/>
        <v>0</v>
      </c>
      <c r="AH428" s="409">
        <f t="shared" si="102"/>
        <v>1</v>
      </c>
      <c r="AI428" s="409">
        <f t="shared" si="102"/>
        <v>0</v>
      </c>
      <c r="AJ428" s="409">
        <f t="shared" si="102"/>
        <v>0</v>
      </c>
      <c r="AK428" s="409">
        <f t="shared" si="102"/>
        <v>0</v>
      </c>
      <c r="AN428" s="391">
        <v>149200</v>
      </c>
      <c r="AO428" s="423">
        <f t="shared" si="104"/>
        <v>0</v>
      </c>
    </row>
    <row r="429" spans="1:41">
      <c r="A429" s="391" t="s">
        <v>585</v>
      </c>
      <c r="B429" s="408">
        <v>40298</v>
      </c>
      <c r="C429" s="391" t="s">
        <v>1367</v>
      </c>
      <c r="D429" s="391" t="s">
        <v>1368</v>
      </c>
      <c r="E429" s="391" t="s">
        <v>539</v>
      </c>
      <c r="F429" s="391" t="s">
        <v>540</v>
      </c>
      <c r="G429" s="391">
        <v>30</v>
      </c>
      <c r="H429" s="392">
        <v>752821.32</v>
      </c>
      <c r="I429" s="392">
        <v>150564.24</v>
      </c>
      <c r="J429" s="392">
        <v>25094.04</v>
      </c>
      <c r="K429" s="391" t="s">
        <v>505</v>
      </c>
      <c r="L429" s="391" t="s">
        <v>778</v>
      </c>
      <c r="O429" s="392">
        <f t="shared" ref="O429:S430" si="105">$H429*AG429</f>
        <v>0</v>
      </c>
      <c r="P429" s="392">
        <f t="shared" si="105"/>
        <v>0</v>
      </c>
      <c r="Q429" s="392">
        <f t="shared" si="105"/>
        <v>752821.32</v>
      </c>
      <c r="R429" s="392">
        <f t="shared" si="105"/>
        <v>0</v>
      </c>
      <c r="S429" s="392">
        <f t="shared" si="105"/>
        <v>0</v>
      </c>
      <c r="U429" s="392">
        <f t="shared" si="95"/>
        <v>0</v>
      </c>
      <c r="V429" s="392">
        <f t="shared" si="95"/>
        <v>0</v>
      </c>
      <c r="W429" s="392">
        <f t="shared" si="95"/>
        <v>150564.24</v>
      </c>
      <c r="X429" s="392">
        <f t="shared" si="95"/>
        <v>0</v>
      </c>
      <c r="Y429" s="392">
        <f t="shared" si="95"/>
        <v>0</v>
      </c>
      <c r="AA429" s="392">
        <f t="shared" si="96"/>
        <v>0</v>
      </c>
      <c r="AB429" s="392">
        <f t="shared" si="96"/>
        <v>0</v>
      </c>
      <c r="AC429" s="392">
        <f t="shared" si="96"/>
        <v>25094.04</v>
      </c>
      <c r="AD429" s="392">
        <f t="shared" si="96"/>
        <v>0</v>
      </c>
      <c r="AE429" s="392">
        <f t="shared" si="96"/>
        <v>0</v>
      </c>
      <c r="AG429" s="409">
        <v>0</v>
      </c>
      <c r="AH429" s="409">
        <v>0</v>
      </c>
      <c r="AI429" s="410">
        <v>1</v>
      </c>
      <c r="AJ429" s="409">
        <v>0</v>
      </c>
      <c r="AK429" s="409">
        <v>0</v>
      </c>
      <c r="AN429" s="391">
        <v>752821.32</v>
      </c>
      <c r="AO429" s="423">
        <f t="shared" si="104"/>
        <v>0</v>
      </c>
    </row>
    <row r="430" spans="1:41">
      <c r="A430" s="391" t="s">
        <v>585</v>
      </c>
      <c r="B430" s="408">
        <v>40298</v>
      </c>
      <c r="C430" s="391" t="s">
        <v>1369</v>
      </c>
      <c r="D430" s="391" t="s">
        <v>1370</v>
      </c>
      <c r="E430" s="391" t="s">
        <v>539</v>
      </c>
      <c r="F430" s="391" t="s">
        <v>540</v>
      </c>
      <c r="G430" s="391">
        <v>30</v>
      </c>
      <c r="H430" s="392">
        <v>161969.76999999999</v>
      </c>
      <c r="I430" s="392">
        <v>32393.940000000002</v>
      </c>
      <c r="J430" s="392">
        <v>5398.99</v>
      </c>
      <c r="K430" s="391" t="s">
        <v>505</v>
      </c>
      <c r="L430" s="391" t="s">
        <v>778</v>
      </c>
      <c r="O430" s="392">
        <f t="shared" si="105"/>
        <v>0</v>
      </c>
      <c r="P430" s="392">
        <f t="shared" si="105"/>
        <v>0</v>
      </c>
      <c r="Q430" s="392">
        <f t="shared" si="105"/>
        <v>161969.76999999999</v>
      </c>
      <c r="R430" s="392">
        <f t="shared" si="105"/>
        <v>0</v>
      </c>
      <c r="S430" s="392">
        <f t="shared" si="105"/>
        <v>0</v>
      </c>
      <c r="U430" s="392">
        <f t="shared" si="95"/>
        <v>0</v>
      </c>
      <c r="V430" s="392">
        <f t="shared" si="95"/>
        <v>0</v>
      </c>
      <c r="W430" s="392">
        <f t="shared" si="95"/>
        <v>32393.940000000002</v>
      </c>
      <c r="X430" s="392">
        <f t="shared" si="95"/>
        <v>0</v>
      </c>
      <c r="Y430" s="392">
        <f t="shared" si="95"/>
        <v>0</v>
      </c>
      <c r="AA430" s="392">
        <f t="shared" si="96"/>
        <v>0</v>
      </c>
      <c r="AB430" s="392">
        <f t="shared" si="96"/>
        <v>0</v>
      </c>
      <c r="AC430" s="392">
        <f t="shared" si="96"/>
        <v>5398.99</v>
      </c>
      <c r="AD430" s="392">
        <f t="shared" si="96"/>
        <v>0</v>
      </c>
      <c r="AE430" s="392">
        <f t="shared" si="96"/>
        <v>0</v>
      </c>
      <c r="AG430" s="409">
        <v>0</v>
      </c>
      <c r="AH430" s="409">
        <v>0</v>
      </c>
      <c r="AI430" s="410">
        <v>1</v>
      </c>
      <c r="AJ430" s="409">
        <v>0</v>
      </c>
      <c r="AK430" s="409">
        <v>0</v>
      </c>
      <c r="AN430" s="391">
        <v>161969.76999999999</v>
      </c>
      <c r="AO430" s="423">
        <f t="shared" si="104"/>
        <v>0</v>
      </c>
    </row>
    <row r="431" spans="1:41">
      <c r="A431" s="391" t="s">
        <v>632</v>
      </c>
      <c r="B431" s="408">
        <v>40298</v>
      </c>
      <c r="C431" s="391" t="s">
        <v>1371</v>
      </c>
      <c r="D431" s="391" t="s">
        <v>1372</v>
      </c>
      <c r="E431" s="391" t="s">
        <v>539</v>
      </c>
      <c r="F431" s="391" t="s">
        <v>540</v>
      </c>
      <c r="G431" s="391">
        <v>5</v>
      </c>
      <c r="H431" s="392">
        <v>0</v>
      </c>
      <c r="I431" s="392">
        <v>0</v>
      </c>
      <c r="J431" s="392">
        <v>0</v>
      </c>
      <c r="K431" s="391" t="s">
        <v>515</v>
      </c>
      <c r="L431" s="391" t="s">
        <v>515</v>
      </c>
      <c r="O431" s="392">
        <f t="shared" ref="O431:S443" si="106">IF(O$8=$K431,$H431,0)</f>
        <v>0</v>
      </c>
      <c r="P431" s="392">
        <f t="shared" si="106"/>
        <v>0</v>
      </c>
      <c r="Q431" s="392">
        <f t="shared" si="106"/>
        <v>0</v>
      </c>
      <c r="R431" s="392">
        <f t="shared" si="106"/>
        <v>0</v>
      </c>
      <c r="S431" s="392">
        <f t="shared" si="106"/>
        <v>0</v>
      </c>
      <c r="U431" s="392">
        <f t="shared" si="95"/>
        <v>0</v>
      </c>
      <c r="V431" s="392">
        <f t="shared" si="95"/>
        <v>0</v>
      </c>
      <c r="W431" s="392">
        <f t="shared" si="95"/>
        <v>0</v>
      </c>
      <c r="X431" s="392">
        <f t="shared" si="95"/>
        <v>0</v>
      </c>
      <c r="Y431" s="392">
        <f t="shared" si="95"/>
        <v>0</v>
      </c>
      <c r="AA431" s="392">
        <f t="shared" si="96"/>
        <v>0</v>
      </c>
      <c r="AB431" s="392">
        <f t="shared" si="96"/>
        <v>0</v>
      </c>
      <c r="AC431" s="392">
        <f t="shared" si="96"/>
        <v>0</v>
      </c>
      <c r="AD431" s="392">
        <f t="shared" si="96"/>
        <v>0</v>
      </c>
      <c r="AE431" s="392">
        <f t="shared" si="96"/>
        <v>0</v>
      </c>
      <c r="AG431" s="409">
        <f t="shared" ref="AG431:AK443" si="107">IF($H431=0,0,O431/$H431)</f>
        <v>0</v>
      </c>
      <c r="AH431" s="409">
        <f t="shared" si="107"/>
        <v>0</v>
      </c>
      <c r="AI431" s="409">
        <f t="shared" si="107"/>
        <v>0</v>
      </c>
      <c r="AJ431" s="409">
        <f t="shared" si="107"/>
        <v>0</v>
      </c>
      <c r="AK431" s="409">
        <f t="shared" si="107"/>
        <v>0</v>
      </c>
      <c r="AN431" s="391">
        <v>0</v>
      </c>
      <c r="AO431" s="423">
        <f t="shared" si="104"/>
        <v>0</v>
      </c>
    </row>
    <row r="432" spans="1:41">
      <c r="A432" s="391" t="s">
        <v>632</v>
      </c>
      <c r="B432" s="408">
        <v>40298</v>
      </c>
      <c r="C432" s="391" t="s">
        <v>1373</v>
      </c>
      <c r="D432" s="391" t="s">
        <v>1374</v>
      </c>
      <c r="E432" s="391" t="s">
        <v>539</v>
      </c>
      <c r="F432" s="391" t="s">
        <v>540</v>
      </c>
      <c r="G432" s="391">
        <v>5</v>
      </c>
      <c r="H432" s="392">
        <v>14520</v>
      </c>
      <c r="I432" s="392">
        <v>14520</v>
      </c>
      <c r="J432" s="392">
        <v>0</v>
      </c>
      <c r="K432" s="391" t="s">
        <v>515</v>
      </c>
      <c r="L432" s="391" t="s">
        <v>515</v>
      </c>
      <c r="O432" s="392">
        <f t="shared" si="106"/>
        <v>0</v>
      </c>
      <c r="P432" s="392">
        <f t="shared" si="106"/>
        <v>0</v>
      </c>
      <c r="Q432" s="392">
        <f t="shared" si="106"/>
        <v>0</v>
      </c>
      <c r="R432" s="392">
        <f t="shared" si="106"/>
        <v>14520</v>
      </c>
      <c r="S432" s="392">
        <f t="shared" si="106"/>
        <v>0</v>
      </c>
      <c r="U432" s="392">
        <f t="shared" si="95"/>
        <v>0</v>
      </c>
      <c r="V432" s="392">
        <f t="shared" si="95"/>
        <v>0</v>
      </c>
      <c r="W432" s="392">
        <f t="shared" si="95"/>
        <v>0</v>
      </c>
      <c r="X432" s="392">
        <f t="shared" si="95"/>
        <v>14520</v>
      </c>
      <c r="Y432" s="392">
        <f t="shared" si="95"/>
        <v>0</v>
      </c>
      <c r="AA432" s="392">
        <f t="shared" si="96"/>
        <v>0</v>
      </c>
      <c r="AB432" s="392">
        <f t="shared" si="96"/>
        <v>0</v>
      </c>
      <c r="AC432" s="392">
        <f t="shared" si="96"/>
        <v>0</v>
      </c>
      <c r="AD432" s="392">
        <f t="shared" si="96"/>
        <v>0</v>
      </c>
      <c r="AE432" s="392">
        <f t="shared" si="96"/>
        <v>0</v>
      </c>
      <c r="AG432" s="409">
        <f t="shared" si="107"/>
        <v>0</v>
      </c>
      <c r="AH432" s="409">
        <f t="shared" si="107"/>
        <v>0</v>
      </c>
      <c r="AI432" s="409">
        <f t="shared" si="107"/>
        <v>0</v>
      </c>
      <c r="AJ432" s="409">
        <f t="shared" si="107"/>
        <v>1</v>
      </c>
      <c r="AK432" s="409">
        <f t="shared" si="107"/>
        <v>0</v>
      </c>
      <c r="AN432" s="391">
        <v>14520</v>
      </c>
      <c r="AO432" s="423">
        <f t="shared" si="104"/>
        <v>0</v>
      </c>
    </row>
    <row r="433" spans="1:41">
      <c r="A433" s="391" t="s">
        <v>682</v>
      </c>
      <c r="B433" s="408">
        <v>40361</v>
      </c>
      <c r="C433" s="391" t="s">
        <v>1375</v>
      </c>
      <c r="D433" s="415" t="s">
        <v>1376</v>
      </c>
      <c r="E433" s="391" t="s">
        <v>539</v>
      </c>
      <c r="F433" s="391" t="s">
        <v>540</v>
      </c>
      <c r="G433" s="391">
        <v>5</v>
      </c>
      <c r="H433" s="392">
        <v>5225.76</v>
      </c>
      <c r="I433" s="392">
        <v>5225.76</v>
      </c>
      <c r="J433" s="392">
        <v>0</v>
      </c>
      <c r="K433" s="391" t="s">
        <v>515</v>
      </c>
      <c r="L433" s="391" t="s">
        <v>515</v>
      </c>
      <c r="O433" s="392">
        <f t="shared" si="106"/>
        <v>0</v>
      </c>
      <c r="P433" s="392">
        <f t="shared" si="106"/>
        <v>0</v>
      </c>
      <c r="Q433" s="392">
        <f t="shared" si="106"/>
        <v>0</v>
      </c>
      <c r="R433" s="392">
        <f t="shared" si="106"/>
        <v>5225.76</v>
      </c>
      <c r="S433" s="392">
        <f t="shared" si="106"/>
        <v>0</v>
      </c>
      <c r="U433" s="392">
        <f t="shared" si="95"/>
        <v>0</v>
      </c>
      <c r="V433" s="392">
        <f t="shared" si="95"/>
        <v>0</v>
      </c>
      <c r="W433" s="392">
        <f t="shared" si="95"/>
        <v>0</v>
      </c>
      <c r="X433" s="392">
        <f t="shared" si="95"/>
        <v>5225.76</v>
      </c>
      <c r="Y433" s="392">
        <f t="shared" si="95"/>
        <v>0</v>
      </c>
      <c r="AA433" s="392">
        <f t="shared" si="96"/>
        <v>0</v>
      </c>
      <c r="AB433" s="392">
        <f t="shared" si="96"/>
        <v>0</v>
      </c>
      <c r="AC433" s="392">
        <f t="shared" si="96"/>
        <v>0</v>
      </c>
      <c r="AD433" s="392">
        <f t="shared" si="96"/>
        <v>0</v>
      </c>
      <c r="AE433" s="392">
        <f t="shared" si="96"/>
        <v>0</v>
      </c>
      <c r="AG433" s="409">
        <f t="shared" si="107"/>
        <v>0</v>
      </c>
      <c r="AH433" s="409">
        <f t="shared" si="107"/>
        <v>0</v>
      </c>
      <c r="AI433" s="409">
        <f t="shared" si="107"/>
        <v>0</v>
      </c>
      <c r="AJ433" s="409">
        <f t="shared" si="107"/>
        <v>1</v>
      </c>
      <c r="AK433" s="409">
        <f t="shared" si="107"/>
        <v>0</v>
      </c>
      <c r="AN433" s="391">
        <v>5225.76</v>
      </c>
      <c r="AO433" s="423">
        <f t="shared" si="104"/>
        <v>0</v>
      </c>
    </row>
    <row r="434" spans="1:41">
      <c r="A434" s="391" t="s">
        <v>632</v>
      </c>
      <c r="B434" s="408">
        <v>40403</v>
      </c>
      <c r="C434" s="391" t="s">
        <v>1377</v>
      </c>
      <c r="D434" s="415" t="s">
        <v>1378</v>
      </c>
      <c r="E434" s="391" t="s">
        <v>539</v>
      </c>
      <c r="F434" s="391" t="s">
        <v>540</v>
      </c>
      <c r="G434" s="391">
        <v>10</v>
      </c>
      <c r="H434" s="392">
        <v>52108</v>
      </c>
      <c r="I434" s="392">
        <v>26054</v>
      </c>
      <c r="J434" s="392">
        <v>5210.8</v>
      </c>
      <c r="K434" s="391" t="s">
        <v>515</v>
      </c>
      <c r="L434" s="391" t="s">
        <v>515</v>
      </c>
      <c r="O434" s="392">
        <f t="shared" si="106"/>
        <v>0</v>
      </c>
      <c r="P434" s="392">
        <f t="shared" si="106"/>
        <v>0</v>
      </c>
      <c r="Q434" s="392">
        <f t="shared" si="106"/>
        <v>0</v>
      </c>
      <c r="R434" s="392">
        <f t="shared" si="106"/>
        <v>52108</v>
      </c>
      <c r="S434" s="392">
        <f t="shared" si="106"/>
        <v>0</v>
      </c>
      <c r="U434" s="392">
        <f t="shared" si="95"/>
        <v>0</v>
      </c>
      <c r="V434" s="392">
        <f t="shared" si="95"/>
        <v>0</v>
      </c>
      <c r="W434" s="392">
        <f t="shared" si="95"/>
        <v>0</v>
      </c>
      <c r="X434" s="392">
        <f t="shared" si="95"/>
        <v>26054</v>
      </c>
      <c r="Y434" s="392">
        <f t="shared" si="95"/>
        <v>0</v>
      </c>
      <c r="AA434" s="392">
        <f t="shared" si="96"/>
        <v>0</v>
      </c>
      <c r="AB434" s="392">
        <f t="shared" si="96"/>
        <v>0</v>
      </c>
      <c r="AC434" s="392">
        <f t="shared" si="96"/>
        <v>0</v>
      </c>
      <c r="AD434" s="392">
        <f t="shared" si="96"/>
        <v>5210.8</v>
      </c>
      <c r="AE434" s="392">
        <f t="shared" si="96"/>
        <v>0</v>
      </c>
      <c r="AG434" s="409">
        <f t="shared" si="107"/>
        <v>0</v>
      </c>
      <c r="AH434" s="409">
        <f t="shared" si="107"/>
        <v>0</v>
      </c>
      <c r="AI434" s="409">
        <f t="shared" si="107"/>
        <v>0</v>
      </c>
      <c r="AJ434" s="409">
        <f t="shared" si="107"/>
        <v>1</v>
      </c>
      <c r="AK434" s="409">
        <f t="shared" si="107"/>
        <v>0</v>
      </c>
      <c r="AN434" s="391">
        <v>52108</v>
      </c>
      <c r="AO434" s="423">
        <f t="shared" si="104"/>
        <v>0</v>
      </c>
    </row>
    <row r="435" spans="1:41">
      <c r="A435" s="391" t="s">
        <v>632</v>
      </c>
      <c r="B435" s="408">
        <v>40403</v>
      </c>
      <c r="C435" s="391" t="s">
        <v>1379</v>
      </c>
      <c r="D435" s="415" t="s">
        <v>1380</v>
      </c>
      <c r="E435" s="391" t="s">
        <v>539</v>
      </c>
      <c r="F435" s="391" t="s">
        <v>540</v>
      </c>
      <c r="G435" s="391">
        <v>5</v>
      </c>
      <c r="H435" s="392">
        <v>10444</v>
      </c>
      <c r="I435" s="392">
        <v>10444</v>
      </c>
      <c r="J435" s="392">
        <v>0</v>
      </c>
      <c r="K435" s="391" t="s">
        <v>515</v>
      </c>
      <c r="L435" s="391" t="s">
        <v>515</v>
      </c>
      <c r="O435" s="392">
        <f t="shared" si="106"/>
        <v>0</v>
      </c>
      <c r="P435" s="392">
        <f t="shared" si="106"/>
        <v>0</v>
      </c>
      <c r="Q435" s="392">
        <f t="shared" si="106"/>
        <v>0</v>
      </c>
      <c r="R435" s="392">
        <f t="shared" si="106"/>
        <v>10444</v>
      </c>
      <c r="S435" s="392">
        <f t="shared" si="106"/>
        <v>0</v>
      </c>
      <c r="U435" s="392">
        <f t="shared" si="95"/>
        <v>0</v>
      </c>
      <c r="V435" s="392">
        <f t="shared" si="95"/>
        <v>0</v>
      </c>
      <c r="W435" s="392">
        <f t="shared" si="95"/>
        <v>0</v>
      </c>
      <c r="X435" s="392">
        <f t="shared" si="95"/>
        <v>10444</v>
      </c>
      <c r="Y435" s="392">
        <f t="shared" si="95"/>
        <v>0</v>
      </c>
      <c r="AA435" s="392">
        <f t="shared" si="96"/>
        <v>0</v>
      </c>
      <c r="AB435" s="392">
        <f t="shared" si="96"/>
        <v>0</v>
      </c>
      <c r="AC435" s="392">
        <f t="shared" si="96"/>
        <v>0</v>
      </c>
      <c r="AD435" s="392">
        <f t="shared" si="96"/>
        <v>0</v>
      </c>
      <c r="AE435" s="392">
        <f t="shared" si="96"/>
        <v>0</v>
      </c>
      <c r="AG435" s="409">
        <f t="shared" si="107"/>
        <v>0</v>
      </c>
      <c r="AH435" s="409">
        <f t="shared" si="107"/>
        <v>0</v>
      </c>
      <c r="AI435" s="409">
        <f t="shared" si="107"/>
        <v>0</v>
      </c>
      <c r="AJ435" s="409">
        <f t="shared" si="107"/>
        <v>1</v>
      </c>
      <c r="AK435" s="409">
        <f t="shared" si="107"/>
        <v>0</v>
      </c>
      <c r="AN435" s="391">
        <v>10444</v>
      </c>
      <c r="AO435" s="423">
        <f t="shared" si="104"/>
        <v>0</v>
      </c>
    </row>
    <row r="436" spans="1:41">
      <c r="A436" s="391" t="s">
        <v>682</v>
      </c>
      <c r="B436" s="408">
        <v>40403</v>
      </c>
      <c r="C436" s="391" t="s">
        <v>1381</v>
      </c>
      <c r="D436" s="415" t="s">
        <v>1382</v>
      </c>
      <c r="E436" s="391" t="s">
        <v>539</v>
      </c>
      <c r="F436" s="391" t="s">
        <v>540</v>
      </c>
      <c r="G436" s="391">
        <v>5</v>
      </c>
      <c r="H436" s="392">
        <v>80975</v>
      </c>
      <c r="I436" s="392">
        <v>80975</v>
      </c>
      <c r="J436" s="392">
        <v>0</v>
      </c>
      <c r="K436" s="391" t="s">
        <v>504</v>
      </c>
      <c r="L436" s="391" t="s">
        <v>504</v>
      </c>
      <c r="O436" s="392">
        <f t="shared" si="106"/>
        <v>80975</v>
      </c>
      <c r="P436" s="392">
        <f t="shared" si="106"/>
        <v>0</v>
      </c>
      <c r="Q436" s="392">
        <f t="shared" si="106"/>
        <v>0</v>
      </c>
      <c r="R436" s="392">
        <f t="shared" si="106"/>
        <v>0</v>
      </c>
      <c r="S436" s="392">
        <f t="shared" si="106"/>
        <v>0</v>
      </c>
      <c r="U436" s="392">
        <f t="shared" ref="U436:Y485" si="108">$I436*AG436</f>
        <v>80975</v>
      </c>
      <c r="V436" s="392">
        <f t="shared" si="108"/>
        <v>0</v>
      </c>
      <c r="W436" s="392">
        <f t="shared" si="108"/>
        <v>0</v>
      </c>
      <c r="X436" s="392">
        <f t="shared" si="108"/>
        <v>0</v>
      </c>
      <c r="Y436" s="392">
        <f t="shared" si="108"/>
        <v>0</v>
      </c>
      <c r="AA436" s="392">
        <f t="shared" ref="AA436:AE485" si="109">$J436*AG436</f>
        <v>0</v>
      </c>
      <c r="AB436" s="392">
        <f t="shared" si="109"/>
        <v>0</v>
      </c>
      <c r="AC436" s="392">
        <f t="shared" si="109"/>
        <v>0</v>
      </c>
      <c r="AD436" s="392">
        <f t="shared" si="109"/>
        <v>0</v>
      </c>
      <c r="AE436" s="392">
        <f t="shared" si="109"/>
        <v>0</v>
      </c>
      <c r="AG436" s="409">
        <f t="shared" si="107"/>
        <v>1</v>
      </c>
      <c r="AH436" s="409">
        <f t="shared" si="107"/>
        <v>0</v>
      </c>
      <c r="AI436" s="409">
        <f t="shared" si="107"/>
        <v>0</v>
      </c>
      <c r="AJ436" s="409">
        <f t="shared" si="107"/>
        <v>0</v>
      </c>
      <c r="AK436" s="409">
        <f t="shared" si="107"/>
        <v>0</v>
      </c>
      <c r="AN436" s="391">
        <v>80975</v>
      </c>
      <c r="AO436" s="423">
        <f t="shared" si="104"/>
        <v>0</v>
      </c>
    </row>
    <row r="437" spans="1:41">
      <c r="A437" s="391" t="s">
        <v>682</v>
      </c>
      <c r="B437" s="408">
        <v>40487</v>
      </c>
      <c r="C437" s="391" t="s">
        <v>1383</v>
      </c>
      <c r="D437" s="415" t="s">
        <v>1384</v>
      </c>
      <c r="E437" s="391" t="s">
        <v>539</v>
      </c>
      <c r="F437" s="391" t="s">
        <v>540</v>
      </c>
      <c r="G437" s="391">
        <v>5</v>
      </c>
      <c r="H437" s="392">
        <v>19613.5</v>
      </c>
      <c r="I437" s="392">
        <v>19613.5</v>
      </c>
      <c r="J437" s="392">
        <v>0</v>
      </c>
      <c r="K437" s="391" t="s">
        <v>515</v>
      </c>
      <c r="L437" s="391" t="s">
        <v>515</v>
      </c>
      <c r="O437" s="392">
        <f t="shared" si="106"/>
        <v>0</v>
      </c>
      <c r="P437" s="392">
        <f t="shared" si="106"/>
        <v>0</v>
      </c>
      <c r="Q437" s="392">
        <f t="shared" si="106"/>
        <v>0</v>
      </c>
      <c r="R437" s="392">
        <f t="shared" si="106"/>
        <v>19613.5</v>
      </c>
      <c r="S437" s="392">
        <f t="shared" si="106"/>
        <v>0</v>
      </c>
      <c r="U437" s="392">
        <f t="shared" si="108"/>
        <v>0</v>
      </c>
      <c r="V437" s="392">
        <f t="shared" si="108"/>
        <v>0</v>
      </c>
      <c r="W437" s="392">
        <f t="shared" si="108"/>
        <v>0</v>
      </c>
      <c r="X437" s="392">
        <f t="shared" si="108"/>
        <v>19613.5</v>
      </c>
      <c r="Y437" s="392">
        <f t="shared" si="108"/>
        <v>0</v>
      </c>
      <c r="AA437" s="392">
        <f t="shared" si="109"/>
        <v>0</v>
      </c>
      <c r="AB437" s="392">
        <f t="shared" si="109"/>
        <v>0</v>
      </c>
      <c r="AC437" s="392">
        <f t="shared" si="109"/>
        <v>0</v>
      </c>
      <c r="AD437" s="392">
        <f t="shared" si="109"/>
        <v>0</v>
      </c>
      <c r="AE437" s="392">
        <f t="shared" si="109"/>
        <v>0</v>
      </c>
      <c r="AG437" s="409">
        <f t="shared" si="107"/>
        <v>0</v>
      </c>
      <c r="AH437" s="409">
        <f t="shared" si="107"/>
        <v>0</v>
      </c>
      <c r="AI437" s="409">
        <f t="shared" si="107"/>
        <v>0</v>
      </c>
      <c r="AJ437" s="409">
        <f t="shared" si="107"/>
        <v>1</v>
      </c>
      <c r="AK437" s="409">
        <f t="shared" si="107"/>
        <v>0</v>
      </c>
      <c r="AN437" s="391">
        <v>19613.5</v>
      </c>
      <c r="AO437" s="423">
        <f t="shared" si="104"/>
        <v>0</v>
      </c>
    </row>
    <row r="438" spans="1:41">
      <c r="A438" s="391" t="s">
        <v>632</v>
      </c>
      <c r="B438" s="408">
        <v>40515</v>
      </c>
      <c r="C438" s="391" t="s">
        <v>1385</v>
      </c>
      <c r="D438" s="415" t="s">
        <v>1386</v>
      </c>
      <c r="E438" s="391" t="s">
        <v>539</v>
      </c>
      <c r="F438" s="391" t="s">
        <v>540</v>
      </c>
      <c r="G438" s="391">
        <v>10</v>
      </c>
      <c r="H438" s="392">
        <v>12820</v>
      </c>
      <c r="I438" s="392">
        <v>6410</v>
      </c>
      <c r="J438" s="392">
        <v>1282</v>
      </c>
      <c r="K438" s="391" t="s">
        <v>515</v>
      </c>
      <c r="L438" s="391" t="s">
        <v>515</v>
      </c>
      <c r="O438" s="392">
        <f t="shared" si="106"/>
        <v>0</v>
      </c>
      <c r="P438" s="392">
        <f t="shared" si="106"/>
        <v>0</v>
      </c>
      <c r="Q438" s="392">
        <f t="shared" si="106"/>
        <v>0</v>
      </c>
      <c r="R438" s="392">
        <f t="shared" si="106"/>
        <v>12820</v>
      </c>
      <c r="S438" s="392">
        <f t="shared" si="106"/>
        <v>0</v>
      </c>
      <c r="U438" s="392">
        <f t="shared" si="108"/>
        <v>0</v>
      </c>
      <c r="V438" s="392">
        <f t="shared" si="108"/>
        <v>0</v>
      </c>
      <c r="W438" s="392">
        <f t="shared" si="108"/>
        <v>0</v>
      </c>
      <c r="X438" s="392">
        <f t="shared" si="108"/>
        <v>6410</v>
      </c>
      <c r="Y438" s="392">
        <f t="shared" si="108"/>
        <v>0</v>
      </c>
      <c r="AA438" s="392">
        <f t="shared" si="109"/>
        <v>0</v>
      </c>
      <c r="AB438" s="392">
        <f t="shared" si="109"/>
        <v>0</v>
      </c>
      <c r="AC438" s="392">
        <f t="shared" si="109"/>
        <v>0</v>
      </c>
      <c r="AD438" s="392">
        <f t="shared" si="109"/>
        <v>1282</v>
      </c>
      <c r="AE438" s="392">
        <f t="shared" si="109"/>
        <v>0</v>
      </c>
      <c r="AG438" s="409">
        <f t="shared" si="107"/>
        <v>0</v>
      </c>
      <c r="AH438" s="409">
        <f t="shared" si="107"/>
        <v>0</v>
      </c>
      <c r="AI438" s="409">
        <f t="shared" si="107"/>
        <v>0</v>
      </c>
      <c r="AJ438" s="409">
        <f t="shared" si="107"/>
        <v>1</v>
      </c>
      <c r="AK438" s="409">
        <f t="shared" si="107"/>
        <v>0</v>
      </c>
      <c r="AN438" s="391">
        <v>12820</v>
      </c>
      <c r="AO438" s="423">
        <f t="shared" si="104"/>
        <v>0</v>
      </c>
    </row>
    <row r="439" spans="1:41">
      <c r="A439" s="391" t="s">
        <v>682</v>
      </c>
      <c r="B439" s="408">
        <v>40542</v>
      </c>
      <c r="C439" s="391" t="s">
        <v>1387</v>
      </c>
      <c r="D439" s="415" t="s">
        <v>1382</v>
      </c>
      <c r="E439" s="391" t="s">
        <v>539</v>
      </c>
      <c r="F439" s="391" t="s">
        <v>540</v>
      </c>
      <c r="G439" s="391">
        <v>5</v>
      </c>
      <c r="H439" s="392">
        <v>299316</v>
      </c>
      <c r="I439" s="392">
        <v>299316</v>
      </c>
      <c r="J439" s="392">
        <v>0</v>
      </c>
      <c r="K439" s="391" t="s">
        <v>504</v>
      </c>
      <c r="L439" s="391" t="s">
        <v>504</v>
      </c>
      <c r="O439" s="392">
        <f t="shared" si="106"/>
        <v>299316</v>
      </c>
      <c r="P439" s="392">
        <f t="shared" si="106"/>
        <v>0</v>
      </c>
      <c r="Q439" s="392">
        <f t="shared" si="106"/>
        <v>0</v>
      </c>
      <c r="R439" s="392">
        <f t="shared" si="106"/>
        <v>0</v>
      </c>
      <c r="S439" s="392">
        <f t="shared" si="106"/>
        <v>0</v>
      </c>
      <c r="U439" s="392">
        <f t="shared" si="108"/>
        <v>299316</v>
      </c>
      <c r="V439" s="392">
        <f t="shared" si="108"/>
        <v>0</v>
      </c>
      <c r="W439" s="392">
        <f t="shared" si="108"/>
        <v>0</v>
      </c>
      <c r="X439" s="392">
        <f t="shared" si="108"/>
        <v>0</v>
      </c>
      <c r="Y439" s="392">
        <f t="shared" si="108"/>
        <v>0</v>
      </c>
      <c r="AA439" s="392">
        <f t="shared" si="109"/>
        <v>0</v>
      </c>
      <c r="AB439" s="392">
        <f t="shared" si="109"/>
        <v>0</v>
      </c>
      <c r="AC439" s="392">
        <f t="shared" si="109"/>
        <v>0</v>
      </c>
      <c r="AD439" s="392">
        <f t="shared" si="109"/>
        <v>0</v>
      </c>
      <c r="AE439" s="392">
        <f t="shared" si="109"/>
        <v>0</v>
      </c>
      <c r="AG439" s="409">
        <f t="shared" si="107"/>
        <v>1</v>
      </c>
      <c r="AH439" s="409">
        <f t="shared" si="107"/>
        <v>0</v>
      </c>
      <c r="AI439" s="409">
        <f t="shared" si="107"/>
        <v>0</v>
      </c>
      <c r="AJ439" s="409">
        <f t="shared" si="107"/>
        <v>0</v>
      </c>
      <c r="AK439" s="409">
        <f t="shared" si="107"/>
        <v>0</v>
      </c>
      <c r="AN439" s="391">
        <v>299316</v>
      </c>
      <c r="AO439" s="423">
        <f t="shared" si="104"/>
        <v>0</v>
      </c>
    </row>
    <row r="440" spans="1:41">
      <c r="A440" s="391" t="s">
        <v>682</v>
      </c>
      <c r="B440" s="408">
        <v>40571</v>
      </c>
      <c r="C440" s="391" t="s">
        <v>1388</v>
      </c>
      <c r="D440" s="391" t="s">
        <v>1389</v>
      </c>
      <c r="E440" s="391" t="s">
        <v>539</v>
      </c>
      <c r="F440" s="391" t="s">
        <v>540</v>
      </c>
      <c r="G440" s="391">
        <v>5</v>
      </c>
      <c r="H440" s="392">
        <v>0</v>
      </c>
      <c r="I440" s="392">
        <v>0</v>
      </c>
      <c r="J440" s="392">
        <v>0</v>
      </c>
      <c r="K440" s="391" t="s">
        <v>515</v>
      </c>
      <c r="L440" s="391" t="s">
        <v>515</v>
      </c>
      <c r="O440" s="392">
        <f t="shared" si="106"/>
        <v>0</v>
      </c>
      <c r="P440" s="392">
        <f t="shared" si="106"/>
        <v>0</v>
      </c>
      <c r="Q440" s="392">
        <f t="shared" si="106"/>
        <v>0</v>
      </c>
      <c r="R440" s="392">
        <f t="shared" si="106"/>
        <v>0</v>
      </c>
      <c r="S440" s="392">
        <f t="shared" si="106"/>
        <v>0</v>
      </c>
      <c r="U440" s="392">
        <f t="shared" si="108"/>
        <v>0</v>
      </c>
      <c r="V440" s="392">
        <f t="shared" si="108"/>
        <v>0</v>
      </c>
      <c r="W440" s="392">
        <f t="shared" si="108"/>
        <v>0</v>
      </c>
      <c r="X440" s="392">
        <f t="shared" si="108"/>
        <v>0</v>
      </c>
      <c r="Y440" s="392">
        <f t="shared" si="108"/>
        <v>0</v>
      </c>
      <c r="AA440" s="392">
        <f t="shared" si="109"/>
        <v>0</v>
      </c>
      <c r="AB440" s="392">
        <f t="shared" si="109"/>
        <v>0</v>
      </c>
      <c r="AC440" s="392">
        <f t="shared" si="109"/>
        <v>0</v>
      </c>
      <c r="AD440" s="392">
        <f t="shared" si="109"/>
        <v>0</v>
      </c>
      <c r="AE440" s="392">
        <f t="shared" si="109"/>
        <v>0</v>
      </c>
      <c r="AG440" s="409">
        <f t="shared" si="107"/>
        <v>0</v>
      </c>
      <c r="AH440" s="409">
        <f t="shared" si="107"/>
        <v>0</v>
      </c>
      <c r="AI440" s="409">
        <f t="shared" si="107"/>
        <v>0</v>
      </c>
      <c r="AJ440" s="409">
        <f t="shared" si="107"/>
        <v>0</v>
      </c>
      <c r="AK440" s="409">
        <f t="shared" si="107"/>
        <v>0</v>
      </c>
      <c r="AN440" s="391">
        <v>0</v>
      </c>
      <c r="AO440" s="423">
        <f t="shared" si="104"/>
        <v>0</v>
      </c>
    </row>
    <row r="441" spans="1:41">
      <c r="A441" s="391" t="s">
        <v>567</v>
      </c>
      <c r="B441" s="408">
        <v>40663</v>
      </c>
      <c r="C441" s="391" t="s">
        <v>1390</v>
      </c>
      <c r="D441" s="391" t="s">
        <v>1391</v>
      </c>
      <c r="E441" s="391" t="s">
        <v>539</v>
      </c>
      <c r="F441" s="391" t="s">
        <v>540</v>
      </c>
      <c r="G441" s="391">
        <v>30</v>
      </c>
      <c r="H441" s="392">
        <v>83907.19</v>
      </c>
      <c r="I441" s="392">
        <v>13984.55</v>
      </c>
      <c r="J441" s="392">
        <v>2796.91</v>
      </c>
      <c r="K441" s="391" t="s">
        <v>505</v>
      </c>
      <c r="L441" s="391" t="s">
        <v>505</v>
      </c>
      <c r="O441" s="392">
        <f t="shared" si="106"/>
        <v>0</v>
      </c>
      <c r="P441" s="392">
        <f t="shared" si="106"/>
        <v>0</v>
      </c>
      <c r="Q441" s="392">
        <f t="shared" si="106"/>
        <v>83907.19</v>
      </c>
      <c r="R441" s="392">
        <f t="shared" si="106"/>
        <v>0</v>
      </c>
      <c r="S441" s="392">
        <f t="shared" si="106"/>
        <v>0</v>
      </c>
      <c r="U441" s="392">
        <f t="shared" si="108"/>
        <v>0</v>
      </c>
      <c r="V441" s="392">
        <f t="shared" si="108"/>
        <v>0</v>
      </c>
      <c r="W441" s="392">
        <f t="shared" si="108"/>
        <v>13984.55</v>
      </c>
      <c r="X441" s="392">
        <f t="shared" si="108"/>
        <v>0</v>
      </c>
      <c r="Y441" s="392">
        <f t="shared" si="108"/>
        <v>0</v>
      </c>
      <c r="AA441" s="392">
        <f t="shared" si="109"/>
        <v>0</v>
      </c>
      <c r="AB441" s="392">
        <f t="shared" si="109"/>
        <v>0</v>
      </c>
      <c r="AC441" s="392">
        <f t="shared" si="109"/>
        <v>2796.91</v>
      </c>
      <c r="AD441" s="392">
        <f t="shared" si="109"/>
        <v>0</v>
      </c>
      <c r="AE441" s="392">
        <f t="shared" si="109"/>
        <v>0</v>
      </c>
      <c r="AG441" s="409">
        <f t="shared" si="107"/>
        <v>0</v>
      </c>
      <c r="AH441" s="409">
        <f t="shared" si="107"/>
        <v>0</v>
      </c>
      <c r="AI441" s="409">
        <f t="shared" si="107"/>
        <v>1</v>
      </c>
      <c r="AJ441" s="409">
        <f t="shared" si="107"/>
        <v>0</v>
      </c>
      <c r="AK441" s="409">
        <f t="shared" si="107"/>
        <v>0</v>
      </c>
      <c r="AN441" s="391">
        <v>83907.19</v>
      </c>
      <c r="AO441" s="423">
        <f t="shared" si="104"/>
        <v>0</v>
      </c>
    </row>
    <row r="442" spans="1:41">
      <c r="A442" s="391" t="s">
        <v>567</v>
      </c>
      <c r="B442" s="408">
        <v>40663</v>
      </c>
      <c r="C442" s="391" t="s">
        <v>1392</v>
      </c>
      <c r="D442" s="391" t="s">
        <v>1393</v>
      </c>
      <c r="E442" s="391" t="s">
        <v>539</v>
      </c>
      <c r="F442" s="391" t="s">
        <v>540</v>
      </c>
      <c r="G442" s="391">
        <v>30</v>
      </c>
      <c r="H442" s="392">
        <v>48047.29</v>
      </c>
      <c r="I442" s="392">
        <v>8007.9</v>
      </c>
      <c r="J442" s="392">
        <v>1601.58</v>
      </c>
      <c r="K442" s="391" t="s">
        <v>505</v>
      </c>
      <c r="L442" s="391" t="s">
        <v>505</v>
      </c>
      <c r="M442" s="391" t="s">
        <v>1278</v>
      </c>
      <c r="O442" s="392">
        <f t="shared" si="106"/>
        <v>0</v>
      </c>
      <c r="P442" s="392">
        <f t="shared" si="106"/>
        <v>0</v>
      </c>
      <c r="Q442" s="392">
        <f t="shared" si="106"/>
        <v>48047.29</v>
      </c>
      <c r="R442" s="392">
        <f t="shared" si="106"/>
        <v>0</v>
      </c>
      <c r="S442" s="392">
        <f t="shared" si="106"/>
        <v>0</v>
      </c>
      <c r="U442" s="392">
        <f t="shared" si="108"/>
        <v>0</v>
      </c>
      <c r="V442" s="392">
        <f t="shared" si="108"/>
        <v>0</v>
      </c>
      <c r="W442" s="392">
        <f t="shared" si="108"/>
        <v>8007.9</v>
      </c>
      <c r="X442" s="392">
        <f t="shared" si="108"/>
        <v>0</v>
      </c>
      <c r="Y442" s="392">
        <f t="shared" si="108"/>
        <v>0</v>
      </c>
      <c r="AA442" s="392">
        <f t="shared" si="109"/>
        <v>0</v>
      </c>
      <c r="AB442" s="392">
        <f t="shared" si="109"/>
        <v>0</v>
      </c>
      <c r="AC442" s="392">
        <f t="shared" si="109"/>
        <v>1601.58</v>
      </c>
      <c r="AD442" s="392">
        <f t="shared" si="109"/>
        <v>0</v>
      </c>
      <c r="AE442" s="392">
        <f t="shared" si="109"/>
        <v>0</v>
      </c>
      <c r="AG442" s="409">
        <f t="shared" si="107"/>
        <v>0</v>
      </c>
      <c r="AH442" s="409">
        <f t="shared" si="107"/>
        <v>0</v>
      </c>
      <c r="AI442" s="409">
        <f t="shared" si="107"/>
        <v>1</v>
      </c>
      <c r="AJ442" s="409">
        <f t="shared" si="107"/>
        <v>0</v>
      </c>
      <c r="AK442" s="409">
        <f t="shared" si="107"/>
        <v>0</v>
      </c>
      <c r="AN442" s="391">
        <v>48047.29</v>
      </c>
      <c r="AO442" s="423">
        <f t="shared" si="104"/>
        <v>0</v>
      </c>
    </row>
    <row r="443" spans="1:41">
      <c r="A443" s="391" t="s">
        <v>616</v>
      </c>
      <c r="B443" s="408">
        <v>40663</v>
      </c>
      <c r="C443" s="391" t="s">
        <v>1394</v>
      </c>
      <c r="D443" s="391" t="s">
        <v>1395</v>
      </c>
      <c r="E443" s="391" t="s">
        <v>539</v>
      </c>
      <c r="F443" s="391" t="s">
        <v>540</v>
      </c>
      <c r="G443" s="391">
        <v>25</v>
      </c>
      <c r="H443" s="392">
        <v>48424.12</v>
      </c>
      <c r="I443" s="392">
        <v>9684.7999999999993</v>
      </c>
      <c r="J443" s="392">
        <v>1936.96</v>
      </c>
      <c r="K443" s="391" t="s">
        <v>505</v>
      </c>
      <c r="L443" s="391" t="s">
        <v>505</v>
      </c>
      <c r="O443" s="392">
        <f t="shared" si="106"/>
        <v>0</v>
      </c>
      <c r="P443" s="392">
        <f t="shared" si="106"/>
        <v>0</v>
      </c>
      <c r="Q443" s="392">
        <f t="shared" si="106"/>
        <v>48424.12</v>
      </c>
      <c r="R443" s="392">
        <f t="shared" si="106"/>
        <v>0</v>
      </c>
      <c r="S443" s="392">
        <f t="shared" si="106"/>
        <v>0</v>
      </c>
      <c r="U443" s="392">
        <f t="shared" si="108"/>
        <v>0</v>
      </c>
      <c r="V443" s="392">
        <f t="shared" si="108"/>
        <v>0</v>
      </c>
      <c r="W443" s="392">
        <f t="shared" si="108"/>
        <v>9684.7999999999993</v>
      </c>
      <c r="X443" s="392">
        <f t="shared" si="108"/>
        <v>0</v>
      </c>
      <c r="Y443" s="392">
        <f t="shared" si="108"/>
        <v>0</v>
      </c>
      <c r="AA443" s="392">
        <f t="shared" si="109"/>
        <v>0</v>
      </c>
      <c r="AB443" s="392">
        <f t="shared" si="109"/>
        <v>0</v>
      </c>
      <c r="AC443" s="392">
        <f t="shared" si="109"/>
        <v>1936.96</v>
      </c>
      <c r="AD443" s="392">
        <f t="shared" si="109"/>
        <v>0</v>
      </c>
      <c r="AE443" s="392">
        <f t="shared" si="109"/>
        <v>0</v>
      </c>
      <c r="AG443" s="409">
        <f t="shared" si="107"/>
        <v>0</v>
      </c>
      <c r="AH443" s="409">
        <f t="shared" si="107"/>
        <v>0</v>
      </c>
      <c r="AI443" s="409">
        <f t="shared" si="107"/>
        <v>1</v>
      </c>
      <c r="AJ443" s="409">
        <f t="shared" si="107"/>
        <v>0</v>
      </c>
      <c r="AK443" s="409">
        <f t="shared" si="107"/>
        <v>0</v>
      </c>
      <c r="AN443" s="391">
        <v>48424.12</v>
      </c>
      <c r="AO443" s="423">
        <f t="shared" si="104"/>
        <v>0</v>
      </c>
    </row>
    <row r="444" spans="1:41">
      <c r="A444" s="391" t="s">
        <v>585</v>
      </c>
      <c r="B444" s="408">
        <v>40663</v>
      </c>
      <c r="C444" s="391" t="s">
        <v>1396</v>
      </c>
      <c r="D444" s="391" t="s">
        <v>1397</v>
      </c>
      <c r="E444" s="391" t="s">
        <v>539</v>
      </c>
      <c r="F444" s="391" t="s">
        <v>1398</v>
      </c>
      <c r="G444" s="391">
        <v>30</v>
      </c>
      <c r="H444" s="392">
        <v>124808.04</v>
      </c>
      <c r="I444" s="392">
        <v>20801.350000000002</v>
      </c>
      <c r="J444" s="392">
        <v>4160.2700000000004</v>
      </c>
      <c r="K444" s="391" t="s">
        <v>505</v>
      </c>
      <c r="L444" s="391" t="s">
        <v>778</v>
      </c>
      <c r="O444" s="392">
        <f>$H444*AG444</f>
        <v>0</v>
      </c>
      <c r="P444" s="392">
        <f>$H444*AH444</f>
        <v>0</v>
      </c>
      <c r="Q444" s="392">
        <f>$H444*AI444</f>
        <v>124808.04</v>
      </c>
      <c r="R444" s="392">
        <f>$H444*AJ444</f>
        <v>0</v>
      </c>
      <c r="S444" s="392">
        <f>$H444*AK444</f>
        <v>0</v>
      </c>
      <c r="U444" s="392">
        <f t="shared" si="108"/>
        <v>0</v>
      </c>
      <c r="V444" s="392">
        <f t="shared" si="108"/>
        <v>0</v>
      </c>
      <c r="W444" s="392">
        <f t="shared" si="108"/>
        <v>20801.350000000002</v>
      </c>
      <c r="X444" s="392">
        <f t="shared" si="108"/>
        <v>0</v>
      </c>
      <c r="Y444" s="392">
        <f t="shared" si="108"/>
        <v>0</v>
      </c>
      <c r="AA444" s="392">
        <f t="shared" si="109"/>
        <v>0</v>
      </c>
      <c r="AB444" s="392">
        <f t="shared" si="109"/>
        <v>0</v>
      </c>
      <c r="AC444" s="392">
        <f t="shared" si="109"/>
        <v>4160.2700000000004</v>
      </c>
      <c r="AD444" s="392">
        <f t="shared" si="109"/>
        <v>0</v>
      </c>
      <c r="AE444" s="392">
        <f t="shared" si="109"/>
        <v>0</v>
      </c>
      <c r="AG444" s="409">
        <v>0</v>
      </c>
      <c r="AH444" s="409">
        <v>0</v>
      </c>
      <c r="AI444" s="410">
        <v>1</v>
      </c>
      <c r="AJ444" s="409">
        <v>0</v>
      </c>
      <c r="AK444" s="409">
        <v>0</v>
      </c>
      <c r="AN444" s="391">
        <v>124808.04</v>
      </c>
      <c r="AO444" s="423">
        <f t="shared" si="104"/>
        <v>0</v>
      </c>
    </row>
    <row r="445" spans="1:41">
      <c r="A445" s="391" t="s">
        <v>585</v>
      </c>
      <c r="B445" s="408">
        <v>40663</v>
      </c>
      <c r="C445" s="391" t="s">
        <v>1399</v>
      </c>
      <c r="D445" s="391" t="s">
        <v>1400</v>
      </c>
      <c r="E445" s="391" t="s">
        <v>539</v>
      </c>
      <c r="F445" s="391" t="s">
        <v>1398</v>
      </c>
      <c r="G445" s="391">
        <v>30</v>
      </c>
      <c r="H445" s="392">
        <v>930929.47</v>
      </c>
      <c r="I445" s="392">
        <v>155154.9</v>
      </c>
      <c r="J445" s="392">
        <v>31030.98</v>
      </c>
      <c r="K445" s="391" t="s">
        <v>505</v>
      </c>
      <c r="L445" s="391" t="s">
        <v>505</v>
      </c>
      <c r="O445" s="392">
        <f t="shared" ref="O445:S456" si="110">IF(O$8=$K445,$H445,0)</f>
        <v>0</v>
      </c>
      <c r="P445" s="392">
        <f t="shared" si="110"/>
        <v>0</v>
      </c>
      <c r="Q445" s="392">
        <f t="shared" si="110"/>
        <v>930929.47</v>
      </c>
      <c r="R445" s="392">
        <f t="shared" si="110"/>
        <v>0</v>
      </c>
      <c r="S445" s="392">
        <f t="shared" si="110"/>
        <v>0</v>
      </c>
      <c r="U445" s="392">
        <f t="shared" si="108"/>
        <v>0</v>
      </c>
      <c r="V445" s="392">
        <f t="shared" si="108"/>
        <v>0</v>
      </c>
      <c r="W445" s="392">
        <f t="shared" si="108"/>
        <v>155154.9</v>
      </c>
      <c r="X445" s="392">
        <f t="shared" si="108"/>
        <v>0</v>
      </c>
      <c r="Y445" s="392">
        <f t="shared" si="108"/>
        <v>0</v>
      </c>
      <c r="AA445" s="392">
        <f t="shared" si="109"/>
        <v>0</v>
      </c>
      <c r="AB445" s="392">
        <f t="shared" si="109"/>
        <v>0</v>
      </c>
      <c r="AC445" s="392">
        <f t="shared" si="109"/>
        <v>31030.98</v>
      </c>
      <c r="AD445" s="392">
        <f t="shared" si="109"/>
        <v>0</v>
      </c>
      <c r="AE445" s="392">
        <f t="shared" si="109"/>
        <v>0</v>
      </c>
      <c r="AG445" s="409">
        <f t="shared" ref="AG445:AK463" si="111">IF($H445=0,0,O445/$H445)</f>
        <v>0</v>
      </c>
      <c r="AH445" s="409">
        <f t="shared" si="111"/>
        <v>0</v>
      </c>
      <c r="AI445" s="409">
        <f t="shared" si="111"/>
        <v>1</v>
      </c>
      <c r="AJ445" s="409">
        <f t="shared" si="111"/>
        <v>0</v>
      </c>
      <c r="AK445" s="409">
        <f t="shared" si="111"/>
        <v>0</v>
      </c>
      <c r="AN445" s="391">
        <v>930929.47</v>
      </c>
      <c r="AO445" s="423">
        <f t="shared" si="104"/>
        <v>0</v>
      </c>
    </row>
    <row r="446" spans="1:41">
      <c r="A446" s="391" t="s">
        <v>572</v>
      </c>
      <c r="B446" s="408">
        <v>40663</v>
      </c>
      <c r="C446" s="391" t="s">
        <v>1401</v>
      </c>
      <c r="D446" s="391" t="s">
        <v>1402</v>
      </c>
      <c r="E446" s="391" t="s">
        <v>539</v>
      </c>
      <c r="F446" s="391" t="s">
        <v>540</v>
      </c>
      <c r="G446" s="391">
        <v>30</v>
      </c>
      <c r="H446" s="392">
        <v>632936.21</v>
      </c>
      <c r="I446" s="392">
        <v>105489.34999999999</v>
      </c>
      <c r="J446" s="392">
        <v>21097.87</v>
      </c>
      <c r="K446" s="391" t="s">
        <v>505</v>
      </c>
      <c r="L446" s="391" t="s">
        <v>505</v>
      </c>
      <c r="O446" s="392">
        <f t="shared" si="110"/>
        <v>0</v>
      </c>
      <c r="P446" s="392">
        <f t="shared" si="110"/>
        <v>0</v>
      </c>
      <c r="Q446" s="392">
        <f t="shared" si="110"/>
        <v>632936.21</v>
      </c>
      <c r="R446" s="392">
        <f t="shared" si="110"/>
        <v>0</v>
      </c>
      <c r="S446" s="392">
        <f t="shared" si="110"/>
        <v>0</v>
      </c>
      <c r="U446" s="392">
        <f t="shared" si="108"/>
        <v>0</v>
      </c>
      <c r="V446" s="392">
        <f t="shared" si="108"/>
        <v>0</v>
      </c>
      <c r="W446" s="392">
        <f t="shared" si="108"/>
        <v>105489.34999999999</v>
      </c>
      <c r="X446" s="392">
        <f t="shared" si="108"/>
        <v>0</v>
      </c>
      <c r="Y446" s="392">
        <f t="shared" si="108"/>
        <v>0</v>
      </c>
      <c r="AA446" s="392">
        <f t="shared" si="109"/>
        <v>0</v>
      </c>
      <c r="AB446" s="392">
        <f t="shared" si="109"/>
        <v>0</v>
      </c>
      <c r="AC446" s="392">
        <f t="shared" si="109"/>
        <v>21097.87</v>
      </c>
      <c r="AD446" s="392">
        <f t="shared" si="109"/>
        <v>0</v>
      </c>
      <c r="AE446" s="392">
        <f t="shared" si="109"/>
        <v>0</v>
      </c>
      <c r="AG446" s="409">
        <f t="shared" si="111"/>
        <v>0</v>
      </c>
      <c r="AH446" s="409">
        <f t="shared" si="111"/>
        <v>0</v>
      </c>
      <c r="AI446" s="409">
        <f t="shared" si="111"/>
        <v>1</v>
      </c>
      <c r="AJ446" s="409">
        <f t="shared" si="111"/>
        <v>0</v>
      </c>
      <c r="AK446" s="409">
        <f t="shared" si="111"/>
        <v>0</v>
      </c>
      <c r="AN446" s="391">
        <v>632936.21</v>
      </c>
      <c r="AO446" s="423">
        <f t="shared" si="104"/>
        <v>0</v>
      </c>
    </row>
    <row r="447" spans="1:41">
      <c r="A447" s="391" t="s">
        <v>646</v>
      </c>
      <c r="B447" s="408">
        <v>40711</v>
      </c>
      <c r="C447" s="391" t="s">
        <v>1403</v>
      </c>
      <c r="D447" s="391" t="s">
        <v>1404</v>
      </c>
      <c r="E447" s="391" t="s">
        <v>539</v>
      </c>
      <c r="F447" s="391" t="s">
        <v>540</v>
      </c>
      <c r="G447" s="391">
        <v>5</v>
      </c>
      <c r="H447" s="392">
        <v>262748</v>
      </c>
      <c r="I447" s="392">
        <v>210198.39999999999</v>
      </c>
      <c r="J447" s="392">
        <v>52549.599999999999</v>
      </c>
      <c r="K447" s="391" t="s">
        <v>515</v>
      </c>
      <c r="L447" s="391" t="s">
        <v>515</v>
      </c>
      <c r="O447" s="392">
        <f t="shared" si="110"/>
        <v>0</v>
      </c>
      <c r="P447" s="392">
        <f t="shared" si="110"/>
        <v>0</v>
      </c>
      <c r="Q447" s="392">
        <f t="shared" si="110"/>
        <v>0</v>
      </c>
      <c r="R447" s="392">
        <f t="shared" si="110"/>
        <v>262748</v>
      </c>
      <c r="S447" s="392">
        <f t="shared" si="110"/>
        <v>0</v>
      </c>
      <c r="U447" s="392">
        <f t="shared" si="108"/>
        <v>0</v>
      </c>
      <c r="V447" s="392">
        <f t="shared" si="108"/>
        <v>0</v>
      </c>
      <c r="W447" s="392">
        <f t="shared" si="108"/>
        <v>0</v>
      </c>
      <c r="X447" s="392">
        <f t="shared" si="108"/>
        <v>210198.39999999999</v>
      </c>
      <c r="Y447" s="392">
        <f t="shared" si="108"/>
        <v>0</v>
      </c>
      <c r="AA447" s="392">
        <f t="shared" si="109"/>
        <v>0</v>
      </c>
      <c r="AB447" s="392">
        <f t="shared" si="109"/>
        <v>0</v>
      </c>
      <c r="AC447" s="392">
        <f t="shared" si="109"/>
        <v>0</v>
      </c>
      <c r="AD447" s="392">
        <f t="shared" si="109"/>
        <v>52549.599999999999</v>
      </c>
      <c r="AE447" s="392">
        <f t="shared" si="109"/>
        <v>0</v>
      </c>
      <c r="AG447" s="409">
        <f t="shared" si="111"/>
        <v>0</v>
      </c>
      <c r="AH447" s="409">
        <f t="shared" si="111"/>
        <v>0</v>
      </c>
      <c r="AI447" s="409">
        <f t="shared" si="111"/>
        <v>0</v>
      </c>
      <c r="AJ447" s="409">
        <f t="shared" si="111"/>
        <v>1</v>
      </c>
      <c r="AK447" s="409">
        <f t="shared" si="111"/>
        <v>0</v>
      </c>
      <c r="AN447" s="391">
        <v>262748</v>
      </c>
      <c r="AO447" s="423">
        <f t="shared" si="104"/>
        <v>0</v>
      </c>
    </row>
    <row r="448" spans="1:41">
      <c r="A448" s="391" t="s">
        <v>682</v>
      </c>
      <c r="B448" s="408">
        <v>40809</v>
      </c>
      <c r="C448" s="391" t="s">
        <v>1405</v>
      </c>
      <c r="D448" s="391" t="s">
        <v>1406</v>
      </c>
      <c r="E448" s="391" t="s">
        <v>539</v>
      </c>
      <c r="F448" s="391" t="s">
        <v>540</v>
      </c>
      <c r="G448" s="391">
        <v>5</v>
      </c>
      <c r="H448" s="392">
        <v>20201.43</v>
      </c>
      <c r="I448" s="392">
        <v>16161.16</v>
      </c>
      <c r="J448" s="392">
        <v>4040.29</v>
      </c>
      <c r="K448" s="391" t="s">
        <v>515</v>
      </c>
      <c r="L448" s="391" t="s">
        <v>515</v>
      </c>
      <c r="O448" s="392">
        <f t="shared" si="110"/>
        <v>0</v>
      </c>
      <c r="P448" s="392">
        <f t="shared" si="110"/>
        <v>0</v>
      </c>
      <c r="Q448" s="392">
        <f t="shared" si="110"/>
        <v>0</v>
      </c>
      <c r="R448" s="392">
        <f t="shared" si="110"/>
        <v>20201.43</v>
      </c>
      <c r="S448" s="392">
        <f t="shared" si="110"/>
        <v>0</v>
      </c>
      <c r="U448" s="392">
        <f t="shared" si="108"/>
        <v>0</v>
      </c>
      <c r="V448" s="392">
        <f t="shared" si="108"/>
        <v>0</v>
      </c>
      <c r="W448" s="392">
        <f t="shared" si="108"/>
        <v>0</v>
      </c>
      <c r="X448" s="392">
        <f t="shared" si="108"/>
        <v>16161.16</v>
      </c>
      <c r="Y448" s="392">
        <f t="shared" si="108"/>
        <v>0</v>
      </c>
      <c r="AA448" s="392">
        <f t="shared" si="109"/>
        <v>0</v>
      </c>
      <c r="AB448" s="392">
        <f t="shared" si="109"/>
        <v>0</v>
      </c>
      <c r="AC448" s="392">
        <f t="shared" si="109"/>
        <v>0</v>
      </c>
      <c r="AD448" s="392">
        <f t="shared" si="109"/>
        <v>4040.29</v>
      </c>
      <c r="AE448" s="392">
        <f t="shared" si="109"/>
        <v>0</v>
      </c>
      <c r="AG448" s="409">
        <f t="shared" si="111"/>
        <v>0</v>
      </c>
      <c r="AH448" s="409">
        <f t="shared" si="111"/>
        <v>0</v>
      </c>
      <c r="AI448" s="409">
        <f t="shared" si="111"/>
        <v>0</v>
      </c>
      <c r="AJ448" s="409">
        <f t="shared" si="111"/>
        <v>1</v>
      </c>
      <c r="AK448" s="409">
        <f t="shared" si="111"/>
        <v>0</v>
      </c>
      <c r="AN448" s="391">
        <v>20201.43</v>
      </c>
      <c r="AO448" s="423">
        <f t="shared" si="104"/>
        <v>0</v>
      </c>
    </row>
    <row r="449" spans="1:41">
      <c r="A449" s="391" t="s">
        <v>646</v>
      </c>
      <c r="B449" s="408">
        <v>40893</v>
      </c>
      <c r="C449" s="391" t="s">
        <v>1407</v>
      </c>
      <c r="D449" s="391" t="s">
        <v>1408</v>
      </c>
      <c r="E449" s="391" t="s">
        <v>539</v>
      </c>
      <c r="F449" s="391" t="s">
        <v>540</v>
      </c>
      <c r="G449" s="391">
        <v>5</v>
      </c>
      <c r="H449" s="392">
        <v>166978</v>
      </c>
      <c r="I449" s="392">
        <v>133582.39999999999</v>
      </c>
      <c r="J449" s="392">
        <v>33395.599999999999</v>
      </c>
      <c r="K449" s="391" t="s">
        <v>515</v>
      </c>
      <c r="L449" s="391" t="s">
        <v>515</v>
      </c>
      <c r="O449" s="392">
        <f t="shared" si="110"/>
        <v>0</v>
      </c>
      <c r="P449" s="392">
        <f t="shared" si="110"/>
        <v>0</v>
      </c>
      <c r="Q449" s="392">
        <f t="shared" si="110"/>
        <v>0</v>
      </c>
      <c r="R449" s="392">
        <f t="shared" si="110"/>
        <v>166978</v>
      </c>
      <c r="S449" s="392">
        <f t="shared" si="110"/>
        <v>0</v>
      </c>
      <c r="U449" s="392">
        <f t="shared" si="108"/>
        <v>0</v>
      </c>
      <c r="V449" s="392">
        <f t="shared" si="108"/>
        <v>0</v>
      </c>
      <c r="W449" s="392">
        <f t="shared" si="108"/>
        <v>0</v>
      </c>
      <c r="X449" s="392">
        <f t="shared" si="108"/>
        <v>133582.39999999999</v>
      </c>
      <c r="Y449" s="392">
        <f t="shared" si="108"/>
        <v>0</v>
      </c>
      <c r="AA449" s="392">
        <f t="shared" si="109"/>
        <v>0</v>
      </c>
      <c r="AB449" s="392">
        <f t="shared" si="109"/>
        <v>0</v>
      </c>
      <c r="AC449" s="392">
        <f t="shared" si="109"/>
        <v>0</v>
      </c>
      <c r="AD449" s="392">
        <f t="shared" si="109"/>
        <v>33395.599999999999</v>
      </c>
      <c r="AE449" s="392">
        <f t="shared" si="109"/>
        <v>0</v>
      </c>
      <c r="AG449" s="409">
        <f t="shared" si="111"/>
        <v>0</v>
      </c>
      <c r="AH449" s="409">
        <f t="shared" si="111"/>
        <v>0</v>
      </c>
      <c r="AI449" s="409">
        <f t="shared" si="111"/>
        <v>0</v>
      </c>
      <c r="AJ449" s="409">
        <f t="shared" si="111"/>
        <v>1</v>
      </c>
      <c r="AK449" s="409">
        <f t="shared" si="111"/>
        <v>0</v>
      </c>
      <c r="AN449" s="391">
        <v>166978</v>
      </c>
      <c r="AO449" s="423">
        <f t="shared" si="104"/>
        <v>0</v>
      </c>
    </row>
    <row r="450" spans="1:41">
      <c r="A450" s="391" t="s">
        <v>632</v>
      </c>
      <c r="B450" s="408">
        <v>40893</v>
      </c>
      <c r="C450" s="391" t="s">
        <v>1409</v>
      </c>
      <c r="D450" s="391" t="s">
        <v>1410</v>
      </c>
      <c r="E450" s="391" t="s">
        <v>539</v>
      </c>
      <c r="F450" s="391" t="s">
        <v>540</v>
      </c>
      <c r="G450" s="391">
        <v>5</v>
      </c>
      <c r="H450" s="392">
        <v>38160.720000000001</v>
      </c>
      <c r="I450" s="392">
        <v>30528.559999999998</v>
      </c>
      <c r="J450" s="392">
        <v>7632.14</v>
      </c>
      <c r="K450" s="391" t="s">
        <v>515</v>
      </c>
      <c r="L450" s="391" t="s">
        <v>515</v>
      </c>
      <c r="O450" s="392">
        <f t="shared" si="110"/>
        <v>0</v>
      </c>
      <c r="P450" s="392">
        <f t="shared" si="110"/>
        <v>0</v>
      </c>
      <c r="Q450" s="392">
        <f t="shared" si="110"/>
        <v>0</v>
      </c>
      <c r="R450" s="392">
        <f t="shared" si="110"/>
        <v>38160.720000000001</v>
      </c>
      <c r="S450" s="392">
        <f t="shared" si="110"/>
        <v>0</v>
      </c>
      <c r="U450" s="392">
        <f t="shared" si="108"/>
        <v>0</v>
      </c>
      <c r="V450" s="392">
        <f t="shared" si="108"/>
        <v>0</v>
      </c>
      <c r="W450" s="392">
        <f t="shared" si="108"/>
        <v>0</v>
      </c>
      <c r="X450" s="392">
        <f t="shared" si="108"/>
        <v>30528.559999999998</v>
      </c>
      <c r="Y450" s="392">
        <f t="shared" si="108"/>
        <v>0</v>
      </c>
      <c r="AA450" s="392">
        <f t="shared" si="109"/>
        <v>0</v>
      </c>
      <c r="AB450" s="392">
        <f t="shared" si="109"/>
        <v>0</v>
      </c>
      <c r="AC450" s="392">
        <f t="shared" si="109"/>
        <v>0</v>
      </c>
      <c r="AD450" s="392">
        <f t="shared" si="109"/>
        <v>7632.14</v>
      </c>
      <c r="AE450" s="392">
        <f t="shared" si="109"/>
        <v>0</v>
      </c>
      <c r="AG450" s="409">
        <f t="shared" si="111"/>
        <v>0</v>
      </c>
      <c r="AH450" s="409">
        <f t="shared" si="111"/>
        <v>0</v>
      </c>
      <c r="AI450" s="409">
        <f t="shared" si="111"/>
        <v>0</v>
      </c>
      <c r="AJ450" s="409">
        <f t="shared" si="111"/>
        <v>1</v>
      </c>
      <c r="AK450" s="409">
        <f t="shared" si="111"/>
        <v>0</v>
      </c>
      <c r="AN450" s="391">
        <v>38160.720000000001</v>
      </c>
      <c r="AO450" s="423">
        <f t="shared" si="104"/>
        <v>0</v>
      </c>
    </row>
    <row r="451" spans="1:41">
      <c r="A451" s="391" t="s">
        <v>632</v>
      </c>
      <c r="B451" s="408">
        <v>40963</v>
      </c>
      <c r="C451" s="391" t="s">
        <v>1411</v>
      </c>
      <c r="D451" s="391" t="s">
        <v>1412</v>
      </c>
      <c r="E451" s="391" t="s">
        <v>539</v>
      </c>
      <c r="F451" s="391" t="s">
        <v>540</v>
      </c>
      <c r="G451" s="391">
        <v>5</v>
      </c>
      <c r="H451" s="392">
        <v>0</v>
      </c>
      <c r="I451" s="392">
        <v>0</v>
      </c>
      <c r="J451" s="392">
        <v>0</v>
      </c>
      <c r="K451" s="391" t="s">
        <v>515</v>
      </c>
      <c r="L451" s="391" t="s">
        <v>515</v>
      </c>
      <c r="O451" s="392">
        <f t="shared" si="110"/>
        <v>0</v>
      </c>
      <c r="P451" s="392">
        <f t="shared" si="110"/>
        <v>0</v>
      </c>
      <c r="Q451" s="392">
        <f t="shared" si="110"/>
        <v>0</v>
      </c>
      <c r="R451" s="392">
        <f t="shared" si="110"/>
        <v>0</v>
      </c>
      <c r="S451" s="392">
        <f t="shared" si="110"/>
        <v>0</v>
      </c>
      <c r="U451" s="392">
        <f t="shared" si="108"/>
        <v>0</v>
      </c>
      <c r="V451" s="392">
        <f t="shared" si="108"/>
        <v>0</v>
      </c>
      <c r="W451" s="392">
        <f t="shared" si="108"/>
        <v>0</v>
      </c>
      <c r="X451" s="392">
        <f t="shared" si="108"/>
        <v>0</v>
      </c>
      <c r="Y451" s="392">
        <f t="shared" si="108"/>
        <v>0</v>
      </c>
      <c r="AA451" s="392">
        <f t="shared" si="109"/>
        <v>0</v>
      </c>
      <c r="AB451" s="392">
        <f t="shared" si="109"/>
        <v>0</v>
      </c>
      <c r="AC451" s="392">
        <f t="shared" si="109"/>
        <v>0</v>
      </c>
      <c r="AD451" s="392">
        <f t="shared" si="109"/>
        <v>0</v>
      </c>
      <c r="AE451" s="392">
        <f t="shared" si="109"/>
        <v>0</v>
      </c>
      <c r="AG451" s="409">
        <f t="shared" si="111"/>
        <v>0</v>
      </c>
      <c r="AH451" s="409">
        <f t="shared" si="111"/>
        <v>0</v>
      </c>
      <c r="AI451" s="409">
        <f t="shared" si="111"/>
        <v>0</v>
      </c>
      <c r="AJ451" s="409">
        <f t="shared" si="111"/>
        <v>0</v>
      </c>
      <c r="AK451" s="409">
        <f t="shared" si="111"/>
        <v>0</v>
      </c>
      <c r="AN451" s="391">
        <v>0</v>
      </c>
      <c r="AO451" s="423">
        <f t="shared" si="104"/>
        <v>0</v>
      </c>
    </row>
    <row r="452" spans="1:41">
      <c r="A452" s="391" t="s">
        <v>632</v>
      </c>
      <c r="B452" s="408">
        <v>40991</v>
      </c>
      <c r="C452" s="391" t="s">
        <v>1413</v>
      </c>
      <c r="D452" s="391" t="s">
        <v>1414</v>
      </c>
      <c r="E452" s="391" t="s">
        <v>539</v>
      </c>
      <c r="F452" s="391" t="s">
        <v>540</v>
      </c>
      <c r="G452" s="391">
        <v>5</v>
      </c>
      <c r="H452" s="392">
        <v>5182</v>
      </c>
      <c r="I452" s="392">
        <v>4145.6000000000004</v>
      </c>
      <c r="J452" s="392">
        <v>1036.4000000000001</v>
      </c>
      <c r="K452" s="391" t="s">
        <v>515</v>
      </c>
      <c r="L452" s="391" t="s">
        <v>515</v>
      </c>
      <c r="O452" s="392">
        <f t="shared" si="110"/>
        <v>0</v>
      </c>
      <c r="P452" s="392">
        <f t="shared" si="110"/>
        <v>0</v>
      </c>
      <c r="Q452" s="392">
        <f t="shared" si="110"/>
        <v>0</v>
      </c>
      <c r="R452" s="392">
        <f t="shared" si="110"/>
        <v>5182</v>
      </c>
      <c r="S452" s="392">
        <f t="shared" si="110"/>
        <v>0</v>
      </c>
      <c r="U452" s="392">
        <f t="shared" si="108"/>
        <v>0</v>
      </c>
      <c r="V452" s="392">
        <f t="shared" si="108"/>
        <v>0</v>
      </c>
      <c r="W452" s="392">
        <f t="shared" si="108"/>
        <v>0</v>
      </c>
      <c r="X452" s="392">
        <f t="shared" si="108"/>
        <v>4145.6000000000004</v>
      </c>
      <c r="Y452" s="392">
        <f t="shared" si="108"/>
        <v>0</v>
      </c>
      <c r="AA452" s="392">
        <f t="shared" si="109"/>
        <v>0</v>
      </c>
      <c r="AB452" s="392">
        <f t="shared" si="109"/>
        <v>0</v>
      </c>
      <c r="AC452" s="392">
        <f t="shared" si="109"/>
        <v>0</v>
      </c>
      <c r="AD452" s="392">
        <f t="shared" si="109"/>
        <v>1036.4000000000001</v>
      </c>
      <c r="AE452" s="392">
        <f t="shared" si="109"/>
        <v>0</v>
      </c>
      <c r="AG452" s="409">
        <f t="shared" si="111"/>
        <v>0</v>
      </c>
      <c r="AH452" s="409">
        <f t="shared" si="111"/>
        <v>0</v>
      </c>
      <c r="AI452" s="409">
        <f t="shared" si="111"/>
        <v>0</v>
      </c>
      <c r="AJ452" s="409">
        <f t="shared" si="111"/>
        <v>1</v>
      </c>
      <c r="AK452" s="409">
        <f t="shared" si="111"/>
        <v>0</v>
      </c>
      <c r="AN452" s="391">
        <v>5182</v>
      </c>
      <c r="AO452" s="423">
        <f t="shared" si="104"/>
        <v>0</v>
      </c>
    </row>
    <row r="453" spans="1:41">
      <c r="A453" s="391" t="s">
        <v>567</v>
      </c>
      <c r="B453" s="408">
        <v>41029</v>
      </c>
      <c r="C453" s="391" t="s">
        <v>1415</v>
      </c>
      <c r="D453" s="391" t="s">
        <v>1416</v>
      </c>
      <c r="E453" s="391" t="s">
        <v>539</v>
      </c>
      <c r="F453" s="391" t="s">
        <v>540</v>
      </c>
      <c r="G453" s="391">
        <v>30</v>
      </c>
      <c r="H453" s="392">
        <v>78487.61</v>
      </c>
      <c r="I453" s="392">
        <v>10465</v>
      </c>
      <c r="J453" s="392">
        <v>2616.25</v>
      </c>
      <c r="K453" s="391" t="s">
        <v>505</v>
      </c>
      <c r="L453" s="391" t="s">
        <v>505</v>
      </c>
      <c r="O453" s="392">
        <f t="shared" si="110"/>
        <v>0</v>
      </c>
      <c r="P453" s="392">
        <f t="shared" si="110"/>
        <v>0</v>
      </c>
      <c r="Q453" s="392">
        <f t="shared" si="110"/>
        <v>78487.61</v>
      </c>
      <c r="R453" s="392">
        <f t="shared" si="110"/>
        <v>0</v>
      </c>
      <c r="S453" s="392">
        <f t="shared" si="110"/>
        <v>0</v>
      </c>
      <c r="U453" s="392">
        <f t="shared" si="108"/>
        <v>0</v>
      </c>
      <c r="V453" s="392">
        <f t="shared" si="108"/>
        <v>0</v>
      </c>
      <c r="W453" s="392">
        <f t="shared" si="108"/>
        <v>10465</v>
      </c>
      <c r="X453" s="392">
        <f t="shared" si="108"/>
        <v>0</v>
      </c>
      <c r="Y453" s="392">
        <f t="shared" si="108"/>
        <v>0</v>
      </c>
      <c r="AA453" s="392">
        <f t="shared" si="109"/>
        <v>0</v>
      </c>
      <c r="AB453" s="392">
        <f t="shared" si="109"/>
        <v>0</v>
      </c>
      <c r="AC453" s="392">
        <f t="shared" si="109"/>
        <v>2616.25</v>
      </c>
      <c r="AD453" s="392">
        <f t="shared" si="109"/>
        <v>0</v>
      </c>
      <c r="AE453" s="392">
        <f t="shared" si="109"/>
        <v>0</v>
      </c>
      <c r="AG453" s="409">
        <f t="shared" si="111"/>
        <v>0</v>
      </c>
      <c r="AH453" s="409">
        <f t="shared" si="111"/>
        <v>0</v>
      </c>
      <c r="AI453" s="409">
        <f t="shared" si="111"/>
        <v>1</v>
      </c>
      <c r="AJ453" s="409">
        <f t="shared" si="111"/>
        <v>0</v>
      </c>
      <c r="AK453" s="409">
        <f t="shared" si="111"/>
        <v>0</v>
      </c>
      <c r="AN453" s="391">
        <v>78487.61</v>
      </c>
      <c r="AO453" s="423">
        <f t="shared" si="104"/>
        <v>0</v>
      </c>
    </row>
    <row r="454" spans="1:41">
      <c r="A454" s="391" t="s">
        <v>567</v>
      </c>
      <c r="B454" s="408">
        <v>41029</v>
      </c>
      <c r="C454" s="391" t="s">
        <v>1417</v>
      </c>
      <c r="D454" s="391" t="s">
        <v>1418</v>
      </c>
      <c r="E454" s="391" t="s">
        <v>539</v>
      </c>
      <c r="F454" s="391" t="s">
        <v>540</v>
      </c>
      <c r="G454" s="391">
        <v>30</v>
      </c>
      <c r="H454" s="392">
        <v>19081.669999999998</v>
      </c>
      <c r="I454" s="392">
        <v>2544.2399999999998</v>
      </c>
      <c r="J454" s="392">
        <v>636.05999999999995</v>
      </c>
      <c r="K454" s="391" t="s">
        <v>505</v>
      </c>
      <c r="L454" s="391" t="s">
        <v>505</v>
      </c>
      <c r="M454" s="391" t="s">
        <v>1278</v>
      </c>
      <c r="O454" s="392">
        <f t="shared" si="110"/>
        <v>0</v>
      </c>
      <c r="P454" s="392">
        <f t="shared" si="110"/>
        <v>0</v>
      </c>
      <c r="Q454" s="392">
        <f t="shared" si="110"/>
        <v>19081.669999999998</v>
      </c>
      <c r="R454" s="392">
        <f t="shared" si="110"/>
        <v>0</v>
      </c>
      <c r="S454" s="392">
        <f t="shared" si="110"/>
        <v>0</v>
      </c>
      <c r="U454" s="392">
        <f t="shared" si="108"/>
        <v>0</v>
      </c>
      <c r="V454" s="392">
        <f t="shared" si="108"/>
        <v>0</v>
      </c>
      <c r="W454" s="392">
        <f t="shared" si="108"/>
        <v>2544.2399999999998</v>
      </c>
      <c r="X454" s="392">
        <f t="shared" si="108"/>
        <v>0</v>
      </c>
      <c r="Y454" s="392">
        <f t="shared" si="108"/>
        <v>0</v>
      </c>
      <c r="AA454" s="392">
        <f t="shared" si="109"/>
        <v>0</v>
      </c>
      <c r="AB454" s="392">
        <f t="shared" si="109"/>
        <v>0</v>
      </c>
      <c r="AC454" s="392">
        <f t="shared" si="109"/>
        <v>636.05999999999995</v>
      </c>
      <c r="AD454" s="392">
        <f t="shared" si="109"/>
        <v>0</v>
      </c>
      <c r="AE454" s="392">
        <f t="shared" si="109"/>
        <v>0</v>
      </c>
      <c r="AG454" s="409">
        <f t="shared" si="111"/>
        <v>0</v>
      </c>
      <c r="AH454" s="409">
        <f t="shared" si="111"/>
        <v>0</v>
      </c>
      <c r="AI454" s="409">
        <f t="shared" si="111"/>
        <v>1</v>
      </c>
      <c r="AJ454" s="409">
        <f t="shared" si="111"/>
        <v>0</v>
      </c>
      <c r="AK454" s="409">
        <f t="shared" si="111"/>
        <v>0</v>
      </c>
      <c r="AN454" s="391">
        <v>19081.669999999998</v>
      </c>
      <c r="AO454" s="423">
        <f t="shared" si="104"/>
        <v>0</v>
      </c>
    </row>
    <row r="455" spans="1:41">
      <c r="A455" s="391" t="s">
        <v>616</v>
      </c>
      <c r="B455" s="408">
        <v>41029</v>
      </c>
      <c r="C455" s="391" t="s">
        <v>1419</v>
      </c>
      <c r="D455" s="391" t="s">
        <v>1420</v>
      </c>
      <c r="E455" s="391" t="s">
        <v>539</v>
      </c>
      <c r="F455" s="391" t="s">
        <v>540</v>
      </c>
      <c r="G455" s="391">
        <v>25</v>
      </c>
      <c r="H455" s="392">
        <v>48126.79</v>
      </c>
      <c r="I455" s="392">
        <v>7700.28</v>
      </c>
      <c r="J455" s="392">
        <v>1925.07</v>
      </c>
      <c r="K455" s="391" t="s">
        <v>505</v>
      </c>
      <c r="L455" s="391" t="s">
        <v>505</v>
      </c>
      <c r="O455" s="392">
        <f t="shared" si="110"/>
        <v>0</v>
      </c>
      <c r="P455" s="392">
        <f t="shared" si="110"/>
        <v>0</v>
      </c>
      <c r="Q455" s="392">
        <f t="shared" si="110"/>
        <v>48126.79</v>
      </c>
      <c r="R455" s="392">
        <f t="shared" si="110"/>
        <v>0</v>
      </c>
      <c r="S455" s="392">
        <f t="shared" si="110"/>
        <v>0</v>
      </c>
      <c r="U455" s="392">
        <f t="shared" si="108"/>
        <v>0</v>
      </c>
      <c r="V455" s="392">
        <f t="shared" si="108"/>
        <v>0</v>
      </c>
      <c r="W455" s="392">
        <f t="shared" si="108"/>
        <v>7700.28</v>
      </c>
      <c r="X455" s="392">
        <f t="shared" si="108"/>
        <v>0</v>
      </c>
      <c r="Y455" s="392">
        <f t="shared" si="108"/>
        <v>0</v>
      </c>
      <c r="AA455" s="392">
        <f t="shared" si="109"/>
        <v>0</v>
      </c>
      <c r="AB455" s="392">
        <f t="shared" si="109"/>
        <v>0</v>
      </c>
      <c r="AC455" s="392">
        <f t="shared" si="109"/>
        <v>1925.07</v>
      </c>
      <c r="AD455" s="392">
        <f t="shared" si="109"/>
        <v>0</v>
      </c>
      <c r="AE455" s="392">
        <f t="shared" si="109"/>
        <v>0</v>
      </c>
      <c r="AG455" s="409">
        <f t="shared" si="111"/>
        <v>0</v>
      </c>
      <c r="AH455" s="409">
        <f t="shared" si="111"/>
        <v>0</v>
      </c>
      <c r="AI455" s="409">
        <f t="shared" si="111"/>
        <v>1</v>
      </c>
      <c r="AJ455" s="409">
        <f t="shared" si="111"/>
        <v>0</v>
      </c>
      <c r="AK455" s="409">
        <f t="shared" si="111"/>
        <v>0</v>
      </c>
      <c r="AN455" s="391">
        <v>48126.79</v>
      </c>
      <c r="AO455" s="423">
        <f t="shared" si="104"/>
        <v>0</v>
      </c>
    </row>
    <row r="456" spans="1:41">
      <c r="A456" s="391" t="s">
        <v>585</v>
      </c>
      <c r="B456" s="408">
        <v>41029</v>
      </c>
      <c r="C456" s="391" t="s">
        <v>1421</v>
      </c>
      <c r="D456" s="391" t="s">
        <v>1422</v>
      </c>
      <c r="E456" s="391" t="s">
        <v>539</v>
      </c>
      <c r="F456" s="391" t="s">
        <v>540</v>
      </c>
      <c r="G456" s="391">
        <v>30</v>
      </c>
      <c r="H456" s="392">
        <v>143087.13</v>
      </c>
      <c r="I456" s="392">
        <v>19078.28</v>
      </c>
      <c r="J456" s="392">
        <v>4769.57</v>
      </c>
      <c r="K456" s="391" t="s">
        <v>505</v>
      </c>
      <c r="L456" s="391" t="s">
        <v>505</v>
      </c>
      <c r="O456" s="392">
        <f t="shared" si="110"/>
        <v>0</v>
      </c>
      <c r="P456" s="392">
        <f t="shared" si="110"/>
        <v>0</v>
      </c>
      <c r="Q456" s="392">
        <f t="shared" si="110"/>
        <v>143087.13</v>
      </c>
      <c r="R456" s="392">
        <f t="shared" si="110"/>
        <v>0</v>
      </c>
      <c r="S456" s="392">
        <f t="shared" si="110"/>
        <v>0</v>
      </c>
      <c r="U456" s="392">
        <f t="shared" si="108"/>
        <v>0</v>
      </c>
      <c r="V456" s="392">
        <f t="shared" si="108"/>
        <v>0</v>
      </c>
      <c r="W456" s="392">
        <f t="shared" si="108"/>
        <v>19078.28</v>
      </c>
      <c r="X456" s="392">
        <f t="shared" si="108"/>
        <v>0</v>
      </c>
      <c r="Y456" s="392">
        <f t="shared" si="108"/>
        <v>0</v>
      </c>
      <c r="AA456" s="392">
        <f t="shared" si="109"/>
        <v>0</v>
      </c>
      <c r="AB456" s="392">
        <f t="shared" si="109"/>
        <v>0</v>
      </c>
      <c r="AC456" s="392">
        <f t="shared" si="109"/>
        <v>4769.57</v>
      </c>
      <c r="AD456" s="392">
        <f t="shared" si="109"/>
        <v>0</v>
      </c>
      <c r="AE456" s="392">
        <f t="shared" si="109"/>
        <v>0</v>
      </c>
      <c r="AG456" s="409">
        <f t="shared" si="111"/>
        <v>0</v>
      </c>
      <c r="AH456" s="409">
        <f t="shared" si="111"/>
        <v>0</v>
      </c>
      <c r="AI456" s="409">
        <f t="shared" si="111"/>
        <v>1</v>
      </c>
      <c r="AJ456" s="409">
        <f t="shared" si="111"/>
        <v>0</v>
      </c>
      <c r="AK456" s="409">
        <f t="shared" si="111"/>
        <v>0</v>
      </c>
      <c r="AN456" s="391">
        <v>143087.13</v>
      </c>
      <c r="AO456" s="423">
        <f t="shared" si="104"/>
        <v>0</v>
      </c>
    </row>
    <row r="457" spans="1:41">
      <c r="A457" s="391" t="s">
        <v>585</v>
      </c>
      <c r="B457" s="408">
        <v>41029</v>
      </c>
      <c r="C457" s="391" t="s">
        <v>1423</v>
      </c>
      <c r="D457" s="391" t="s">
        <v>1424</v>
      </c>
      <c r="E457" s="391" t="s">
        <v>539</v>
      </c>
      <c r="F457" s="391" t="s">
        <v>540</v>
      </c>
      <c r="G457" s="391">
        <v>30</v>
      </c>
      <c r="H457" s="392">
        <v>104582.43</v>
      </c>
      <c r="I457" s="392">
        <v>13944.32</v>
      </c>
      <c r="J457" s="392">
        <v>3486.08</v>
      </c>
      <c r="K457" s="391" t="s">
        <v>516</v>
      </c>
      <c r="L457" s="391" t="s">
        <v>516</v>
      </c>
      <c r="M457" s="391" t="s">
        <v>1425</v>
      </c>
      <c r="O457" s="414">
        <v>0</v>
      </c>
      <c r="P457" s="414">
        <v>63025</v>
      </c>
      <c r="Q457" s="414">
        <v>41557</v>
      </c>
      <c r="R457" s="414">
        <v>0</v>
      </c>
      <c r="S457" s="414">
        <v>0</v>
      </c>
      <c r="T457" s="414"/>
      <c r="U457" s="392">
        <f t="shared" si="108"/>
        <v>0</v>
      </c>
      <c r="V457" s="392">
        <f t="shared" si="108"/>
        <v>8403.3309227945847</v>
      </c>
      <c r="W457" s="392">
        <f t="shared" si="108"/>
        <v>5540.9317438885291</v>
      </c>
      <c r="X457" s="392">
        <f t="shared" si="108"/>
        <v>0</v>
      </c>
      <c r="Y457" s="392">
        <f t="shared" si="108"/>
        <v>0</v>
      </c>
      <c r="AA457" s="392">
        <f t="shared" si="109"/>
        <v>0</v>
      </c>
      <c r="AB457" s="392">
        <f t="shared" si="109"/>
        <v>2100.8327306986462</v>
      </c>
      <c r="AC457" s="392">
        <f t="shared" si="109"/>
        <v>1385.2329359721323</v>
      </c>
      <c r="AD457" s="392">
        <f t="shared" si="109"/>
        <v>0</v>
      </c>
      <c r="AE457" s="392">
        <f t="shared" si="109"/>
        <v>0</v>
      </c>
      <c r="AG457" s="409">
        <f t="shared" si="111"/>
        <v>0</v>
      </c>
      <c r="AH457" s="409">
        <f t="shared" si="111"/>
        <v>0.60263468729881309</v>
      </c>
      <c r="AI457" s="409">
        <f t="shared" si="111"/>
        <v>0.3973612011118885</v>
      </c>
      <c r="AJ457" s="409">
        <f t="shared" si="111"/>
        <v>0</v>
      </c>
      <c r="AK457" s="409">
        <f t="shared" si="111"/>
        <v>0</v>
      </c>
      <c r="AN457" s="391">
        <v>104582.43</v>
      </c>
      <c r="AO457" s="423">
        <f t="shared" si="104"/>
        <v>0</v>
      </c>
    </row>
    <row r="458" spans="1:41">
      <c r="A458" s="391" t="s">
        <v>572</v>
      </c>
      <c r="B458" s="408">
        <v>41029</v>
      </c>
      <c r="C458" s="391" t="s">
        <v>1426</v>
      </c>
      <c r="D458" s="391" t="s">
        <v>1427</v>
      </c>
      <c r="E458" s="391" t="s">
        <v>539</v>
      </c>
      <c r="F458" s="391" t="s">
        <v>540</v>
      </c>
      <c r="G458" s="391">
        <v>30</v>
      </c>
      <c r="H458" s="392">
        <v>366395.7</v>
      </c>
      <c r="I458" s="392">
        <v>48852.76</v>
      </c>
      <c r="J458" s="392">
        <v>12213.19</v>
      </c>
      <c r="K458" s="391" t="s">
        <v>505</v>
      </c>
      <c r="L458" s="391" t="s">
        <v>505</v>
      </c>
      <c r="O458" s="392">
        <f t="shared" ref="O458:S463" si="112">IF(O$8=$K458,$H458,0)</f>
        <v>0</v>
      </c>
      <c r="P458" s="392">
        <f t="shared" si="112"/>
        <v>0</v>
      </c>
      <c r="Q458" s="392">
        <f t="shared" si="112"/>
        <v>366395.7</v>
      </c>
      <c r="R458" s="392">
        <f t="shared" si="112"/>
        <v>0</v>
      </c>
      <c r="S458" s="392">
        <f t="shared" si="112"/>
        <v>0</v>
      </c>
      <c r="U458" s="392">
        <f t="shared" si="108"/>
        <v>0</v>
      </c>
      <c r="V458" s="392">
        <f t="shared" si="108"/>
        <v>0</v>
      </c>
      <c r="W458" s="392">
        <f t="shared" si="108"/>
        <v>48852.76</v>
      </c>
      <c r="X458" s="392">
        <f t="shared" si="108"/>
        <v>0</v>
      </c>
      <c r="Y458" s="392">
        <f t="shared" si="108"/>
        <v>0</v>
      </c>
      <c r="AA458" s="392">
        <f t="shared" si="109"/>
        <v>0</v>
      </c>
      <c r="AB458" s="392">
        <f t="shared" si="109"/>
        <v>0</v>
      </c>
      <c r="AC458" s="392">
        <f t="shared" si="109"/>
        <v>12213.19</v>
      </c>
      <c r="AD458" s="392">
        <f t="shared" si="109"/>
        <v>0</v>
      </c>
      <c r="AE458" s="392">
        <f t="shared" si="109"/>
        <v>0</v>
      </c>
      <c r="AG458" s="409">
        <f t="shared" si="111"/>
        <v>0</v>
      </c>
      <c r="AH458" s="409">
        <f t="shared" si="111"/>
        <v>0</v>
      </c>
      <c r="AI458" s="409">
        <f t="shared" si="111"/>
        <v>1</v>
      </c>
      <c r="AJ458" s="409">
        <f t="shared" si="111"/>
        <v>0</v>
      </c>
      <c r="AK458" s="409">
        <f t="shared" si="111"/>
        <v>0</v>
      </c>
      <c r="AN458" s="391">
        <v>366395.7</v>
      </c>
      <c r="AO458" s="423">
        <f t="shared" si="104"/>
        <v>0</v>
      </c>
    </row>
    <row r="459" spans="1:41">
      <c r="A459" s="391" t="s">
        <v>646</v>
      </c>
      <c r="B459" s="408">
        <v>41089</v>
      </c>
      <c r="C459" s="391" t="s">
        <v>1428</v>
      </c>
      <c r="D459" s="391" t="s">
        <v>1429</v>
      </c>
      <c r="E459" s="391" t="s">
        <v>539</v>
      </c>
      <c r="F459" s="391" t="s">
        <v>540</v>
      </c>
      <c r="G459" s="391">
        <v>5</v>
      </c>
      <c r="H459" s="392">
        <v>31867.5</v>
      </c>
      <c r="I459" s="392">
        <v>19120.5</v>
      </c>
      <c r="J459" s="392">
        <v>6373.5</v>
      </c>
      <c r="K459" s="391" t="s">
        <v>515</v>
      </c>
      <c r="L459" s="391" t="s">
        <v>515</v>
      </c>
      <c r="O459" s="392">
        <f t="shared" si="112"/>
        <v>0</v>
      </c>
      <c r="P459" s="392">
        <f t="shared" si="112"/>
        <v>0</v>
      </c>
      <c r="Q459" s="392">
        <f t="shared" si="112"/>
        <v>0</v>
      </c>
      <c r="R459" s="392">
        <f t="shared" si="112"/>
        <v>31867.5</v>
      </c>
      <c r="S459" s="392">
        <f t="shared" si="112"/>
        <v>0</v>
      </c>
      <c r="U459" s="392">
        <f t="shared" si="108"/>
        <v>0</v>
      </c>
      <c r="V459" s="392">
        <f t="shared" si="108"/>
        <v>0</v>
      </c>
      <c r="W459" s="392">
        <f t="shared" si="108"/>
        <v>0</v>
      </c>
      <c r="X459" s="392">
        <f t="shared" si="108"/>
        <v>19120.5</v>
      </c>
      <c r="Y459" s="392">
        <f t="shared" si="108"/>
        <v>0</v>
      </c>
      <c r="AA459" s="392">
        <f t="shared" si="109"/>
        <v>0</v>
      </c>
      <c r="AB459" s="392">
        <f t="shared" si="109"/>
        <v>0</v>
      </c>
      <c r="AC459" s="392">
        <f t="shared" si="109"/>
        <v>0</v>
      </c>
      <c r="AD459" s="392">
        <f t="shared" si="109"/>
        <v>6373.5</v>
      </c>
      <c r="AE459" s="392">
        <f t="shared" si="109"/>
        <v>0</v>
      </c>
      <c r="AG459" s="409">
        <f t="shared" si="111"/>
        <v>0</v>
      </c>
      <c r="AH459" s="409">
        <f t="shared" si="111"/>
        <v>0</v>
      </c>
      <c r="AI459" s="409">
        <f t="shared" si="111"/>
        <v>0</v>
      </c>
      <c r="AJ459" s="409">
        <f t="shared" si="111"/>
        <v>1</v>
      </c>
      <c r="AK459" s="409">
        <f t="shared" si="111"/>
        <v>0</v>
      </c>
      <c r="AN459" s="391">
        <v>31867.5</v>
      </c>
      <c r="AO459" s="423">
        <f t="shared" si="104"/>
        <v>0</v>
      </c>
    </row>
    <row r="460" spans="1:41">
      <c r="A460" s="391" t="s">
        <v>682</v>
      </c>
      <c r="B460" s="408">
        <v>41103</v>
      </c>
      <c r="C460" s="391" t="s">
        <v>1430</v>
      </c>
      <c r="D460" s="391" t="s">
        <v>1431</v>
      </c>
      <c r="E460" s="391" t="s">
        <v>539</v>
      </c>
      <c r="F460" s="391" t="s">
        <v>540</v>
      </c>
      <c r="G460" s="391">
        <v>5</v>
      </c>
      <c r="H460" s="392">
        <v>6494.16</v>
      </c>
      <c r="I460" s="392">
        <v>3896.49</v>
      </c>
      <c r="J460" s="392">
        <v>1298.83</v>
      </c>
      <c r="K460" s="391" t="s">
        <v>515</v>
      </c>
      <c r="L460" s="391" t="s">
        <v>515</v>
      </c>
      <c r="O460" s="392">
        <f t="shared" si="112"/>
        <v>0</v>
      </c>
      <c r="P460" s="392">
        <f t="shared" si="112"/>
        <v>0</v>
      </c>
      <c r="Q460" s="392">
        <f t="shared" si="112"/>
        <v>0</v>
      </c>
      <c r="R460" s="392">
        <f t="shared" si="112"/>
        <v>6494.16</v>
      </c>
      <c r="S460" s="392">
        <f t="shared" si="112"/>
        <v>0</v>
      </c>
      <c r="U460" s="392">
        <f t="shared" si="108"/>
        <v>0</v>
      </c>
      <c r="V460" s="392">
        <f t="shared" si="108"/>
        <v>0</v>
      </c>
      <c r="W460" s="392">
        <f t="shared" si="108"/>
        <v>0</v>
      </c>
      <c r="X460" s="392">
        <f t="shared" si="108"/>
        <v>3896.49</v>
      </c>
      <c r="Y460" s="392">
        <f t="shared" si="108"/>
        <v>0</v>
      </c>
      <c r="AA460" s="392">
        <f t="shared" si="109"/>
        <v>0</v>
      </c>
      <c r="AB460" s="392">
        <f t="shared" si="109"/>
        <v>0</v>
      </c>
      <c r="AC460" s="392">
        <f t="shared" si="109"/>
        <v>0</v>
      </c>
      <c r="AD460" s="392">
        <f t="shared" si="109"/>
        <v>1298.83</v>
      </c>
      <c r="AE460" s="392">
        <f t="shared" si="109"/>
        <v>0</v>
      </c>
      <c r="AG460" s="409">
        <f t="shared" si="111"/>
        <v>0</v>
      </c>
      <c r="AH460" s="409">
        <f t="shared" si="111"/>
        <v>0</v>
      </c>
      <c r="AI460" s="409">
        <f t="shared" si="111"/>
        <v>0</v>
      </c>
      <c r="AJ460" s="409">
        <f t="shared" si="111"/>
        <v>1</v>
      </c>
      <c r="AK460" s="409">
        <f t="shared" si="111"/>
        <v>0</v>
      </c>
      <c r="AN460" s="391">
        <v>6494.16</v>
      </c>
      <c r="AO460" s="423">
        <f t="shared" si="104"/>
        <v>0</v>
      </c>
    </row>
    <row r="461" spans="1:41">
      <c r="A461" s="391" t="s">
        <v>682</v>
      </c>
      <c r="B461" s="408">
        <v>41117</v>
      </c>
      <c r="C461" s="391" t="s">
        <v>1432</v>
      </c>
      <c r="D461" s="391" t="s">
        <v>1433</v>
      </c>
      <c r="E461" s="391" t="s">
        <v>539</v>
      </c>
      <c r="F461" s="391" t="s">
        <v>540</v>
      </c>
      <c r="G461" s="391">
        <v>7</v>
      </c>
      <c r="H461" s="392">
        <v>5846.75</v>
      </c>
      <c r="I461" s="392">
        <v>2505.75</v>
      </c>
      <c r="J461" s="392">
        <v>835.25</v>
      </c>
      <c r="K461" s="391" t="s">
        <v>515</v>
      </c>
      <c r="L461" s="391" t="s">
        <v>515</v>
      </c>
      <c r="O461" s="392">
        <f t="shared" si="112"/>
        <v>0</v>
      </c>
      <c r="P461" s="392">
        <f t="shared" si="112"/>
        <v>0</v>
      </c>
      <c r="Q461" s="392">
        <f t="shared" si="112"/>
        <v>0</v>
      </c>
      <c r="R461" s="392">
        <f t="shared" si="112"/>
        <v>5846.75</v>
      </c>
      <c r="S461" s="392">
        <f t="shared" si="112"/>
        <v>0</v>
      </c>
      <c r="U461" s="392">
        <f t="shared" si="108"/>
        <v>0</v>
      </c>
      <c r="V461" s="392">
        <f t="shared" si="108"/>
        <v>0</v>
      </c>
      <c r="W461" s="392">
        <f t="shared" si="108"/>
        <v>0</v>
      </c>
      <c r="X461" s="392">
        <f t="shared" si="108"/>
        <v>2505.75</v>
      </c>
      <c r="Y461" s="392">
        <f t="shared" si="108"/>
        <v>0</v>
      </c>
      <c r="AA461" s="392">
        <f t="shared" si="109"/>
        <v>0</v>
      </c>
      <c r="AB461" s="392">
        <f t="shared" si="109"/>
        <v>0</v>
      </c>
      <c r="AC461" s="392">
        <f t="shared" si="109"/>
        <v>0</v>
      </c>
      <c r="AD461" s="392">
        <f t="shared" si="109"/>
        <v>835.25</v>
      </c>
      <c r="AE461" s="392">
        <f t="shared" si="109"/>
        <v>0</v>
      </c>
      <c r="AG461" s="409">
        <f t="shared" si="111"/>
        <v>0</v>
      </c>
      <c r="AH461" s="409">
        <f t="shared" si="111"/>
        <v>0</v>
      </c>
      <c r="AI461" s="409">
        <f t="shared" si="111"/>
        <v>0</v>
      </c>
      <c r="AJ461" s="409">
        <f t="shared" si="111"/>
        <v>1</v>
      </c>
      <c r="AK461" s="409">
        <f t="shared" si="111"/>
        <v>0</v>
      </c>
      <c r="AN461" s="391">
        <v>5846.75</v>
      </c>
      <c r="AO461" s="423">
        <f t="shared" si="104"/>
        <v>0</v>
      </c>
    </row>
    <row r="462" spans="1:41">
      <c r="A462" s="391" t="s">
        <v>646</v>
      </c>
      <c r="B462" s="408">
        <v>41159</v>
      </c>
      <c r="C462" s="391" t="s">
        <v>1434</v>
      </c>
      <c r="D462" s="391" t="s">
        <v>1435</v>
      </c>
      <c r="E462" s="391" t="s">
        <v>539</v>
      </c>
      <c r="F462" s="391" t="s">
        <v>540</v>
      </c>
      <c r="G462" s="391">
        <v>5</v>
      </c>
      <c r="H462" s="392">
        <v>39793.5</v>
      </c>
      <c r="I462" s="392">
        <v>23876.1</v>
      </c>
      <c r="J462" s="392">
        <v>7958.7</v>
      </c>
      <c r="K462" s="391" t="s">
        <v>515</v>
      </c>
      <c r="L462" s="391" t="s">
        <v>515</v>
      </c>
      <c r="O462" s="392">
        <f t="shared" si="112"/>
        <v>0</v>
      </c>
      <c r="P462" s="392">
        <f t="shared" si="112"/>
        <v>0</v>
      </c>
      <c r="Q462" s="392">
        <f t="shared" si="112"/>
        <v>0</v>
      </c>
      <c r="R462" s="392">
        <f t="shared" si="112"/>
        <v>39793.5</v>
      </c>
      <c r="S462" s="392">
        <f t="shared" si="112"/>
        <v>0</v>
      </c>
      <c r="U462" s="392">
        <f t="shared" si="108"/>
        <v>0</v>
      </c>
      <c r="V462" s="392">
        <f t="shared" si="108"/>
        <v>0</v>
      </c>
      <c r="W462" s="392">
        <f t="shared" si="108"/>
        <v>0</v>
      </c>
      <c r="X462" s="392">
        <f t="shared" si="108"/>
        <v>23876.1</v>
      </c>
      <c r="Y462" s="392">
        <f t="shared" si="108"/>
        <v>0</v>
      </c>
      <c r="AA462" s="392">
        <f t="shared" si="109"/>
        <v>0</v>
      </c>
      <c r="AB462" s="392">
        <f t="shared" si="109"/>
        <v>0</v>
      </c>
      <c r="AC462" s="392">
        <f t="shared" si="109"/>
        <v>0</v>
      </c>
      <c r="AD462" s="392">
        <f t="shared" si="109"/>
        <v>7958.7</v>
      </c>
      <c r="AE462" s="392">
        <f t="shared" si="109"/>
        <v>0</v>
      </c>
      <c r="AG462" s="409">
        <f t="shared" si="111"/>
        <v>0</v>
      </c>
      <c r="AH462" s="409">
        <f t="shared" si="111"/>
        <v>0</v>
      </c>
      <c r="AI462" s="409">
        <f t="shared" si="111"/>
        <v>0</v>
      </c>
      <c r="AJ462" s="409">
        <f t="shared" si="111"/>
        <v>1</v>
      </c>
      <c r="AK462" s="409">
        <f t="shared" si="111"/>
        <v>0</v>
      </c>
      <c r="AN462" s="391">
        <v>39793.5</v>
      </c>
      <c r="AO462" s="423">
        <f t="shared" si="104"/>
        <v>0</v>
      </c>
    </row>
    <row r="463" spans="1:41">
      <c r="A463" s="391" t="s">
        <v>682</v>
      </c>
      <c r="B463" s="408">
        <v>41368</v>
      </c>
      <c r="C463" s="391" t="s">
        <v>1436</v>
      </c>
      <c r="D463" s="391" t="s">
        <v>1437</v>
      </c>
      <c r="E463" s="391" t="s">
        <v>547</v>
      </c>
      <c r="F463" s="391" t="s">
        <v>540</v>
      </c>
      <c r="G463" s="391">
        <v>5</v>
      </c>
      <c r="H463" s="392">
        <v>0</v>
      </c>
      <c r="I463" s="392">
        <v>0</v>
      </c>
      <c r="J463" s="392">
        <v>0</v>
      </c>
      <c r="K463" s="391" t="s">
        <v>515</v>
      </c>
      <c r="L463" s="391" t="s">
        <v>515</v>
      </c>
      <c r="O463" s="392">
        <f t="shared" si="112"/>
        <v>0</v>
      </c>
      <c r="P463" s="392">
        <f t="shared" si="112"/>
        <v>0</v>
      </c>
      <c r="Q463" s="392">
        <f t="shared" si="112"/>
        <v>0</v>
      </c>
      <c r="R463" s="392">
        <f t="shared" si="112"/>
        <v>0</v>
      </c>
      <c r="S463" s="392">
        <f t="shared" si="112"/>
        <v>0</v>
      </c>
      <c r="U463" s="392">
        <f t="shared" si="108"/>
        <v>0</v>
      </c>
      <c r="V463" s="392">
        <f t="shared" si="108"/>
        <v>0</v>
      </c>
      <c r="W463" s="392">
        <f t="shared" si="108"/>
        <v>0</v>
      </c>
      <c r="X463" s="392">
        <f t="shared" si="108"/>
        <v>0</v>
      </c>
      <c r="Y463" s="392">
        <f t="shared" si="108"/>
        <v>0</v>
      </c>
      <c r="AA463" s="392">
        <f t="shared" si="109"/>
        <v>0</v>
      </c>
      <c r="AB463" s="392">
        <f t="shared" si="109"/>
        <v>0</v>
      </c>
      <c r="AC463" s="392">
        <f t="shared" si="109"/>
        <v>0</v>
      </c>
      <c r="AD463" s="392">
        <f t="shared" si="109"/>
        <v>0</v>
      </c>
      <c r="AE463" s="392">
        <f t="shared" si="109"/>
        <v>0</v>
      </c>
      <c r="AG463" s="409">
        <f t="shared" si="111"/>
        <v>0</v>
      </c>
      <c r="AH463" s="409">
        <f t="shared" si="111"/>
        <v>0</v>
      </c>
      <c r="AI463" s="409">
        <f t="shared" si="111"/>
        <v>0</v>
      </c>
      <c r="AJ463" s="409">
        <f t="shared" si="111"/>
        <v>0</v>
      </c>
      <c r="AK463" s="409">
        <f t="shared" si="111"/>
        <v>0</v>
      </c>
      <c r="AN463" s="391">
        <v>0</v>
      </c>
      <c r="AO463" s="423">
        <f t="shared" si="104"/>
        <v>0</v>
      </c>
    </row>
    <row r="464" spans="1:41">
      <c r="A464" s="391" t="s">
        <v>567</v>
      </c>
      <c r="B464" s="408">
        <v>41394</v>
      </c>
      <c r="C464" s="391" t="s">
        <v>1438</v>
      </c>
      <c r="D464" s="391" t="s">
        <v>1439</v>
      </c>
      <c r="E464" s="391" t="s">
        <v>539</v>
      </c>
      <c r="F464" s="391" t="s">
        <v>540</v>
      </c>
      <c r="G464" s="391">
        <v>30</v>
      </c>
      <c r="H464" s="392">
        <v>219896.95</v>
      </c>
      <c r="I464" s="392">
        <v>21989.699999999997</v>
      </c>
      <c r="J464" s="392">
        <v>7329.9</v>
      </c>
      <c r="K464" s="391" t="s">
        <v>505</v>
      </c>
      <c r="L464" s="391" t="s">
        <v>505</v>
      </c>
      <c r="O464" s="392">
        <f t="shared" ref="O464:S465" si="113">IF(O$8=$K464,$H464,0)</f>
        <v>0</v>
      </c>
      <c r="P464" s="392">
        <f t="shared" si="113"/>
        <v>0</v>
      </c>
      <c r="Q464" s="392">
        <f t="shared" si="113"/>
        <v>219896.95</v>
      </c>
      <c r="R464" s="392">
        <f t="shared" si="113"/>
        <v>0</v>
      </c>
      <c r="S464" s="392">
        <f t="shared" si="113"/>
        <v>0</v>
      </c>
      <c r="U464" s="392">
        <f t="shared" si="108"/>
        <v>0</v>
      </c>
      <c r="V464" s="392">
        <f t="shared" si="108"/>
        <v>0</v>
      </c>
      <c r="W464" s="392">
        <f t="shared" si="108"/>
        <v>21989.699999999997</v>
      </c>
      <c r="X464" s="392">
        <f t="shared" si="108"/>
        <v>0</v>
      </c>
      <c r="Y464" s="392">
        <f t="shared" si="108"/>
        <v>0</v>
      </c>
      <c r="AA464" s="392">
        <f t="shared" si="109"/>
        <v>0</v>
      </c>
      <c r="AB464" s="392">
        <f t="shared" si="109"/>
        <v>0</v>
      </c>
      <c r="AC464" s="392">
        <f t="shared" si="109"/>
        <v>7329.9</v>
      </c>
      <c r="AD464" s="392">
        <f t="shared" si="109"/>
        <v>0</v>
      </c>
      <c r="AE464" s="392">
        <f t="shared" si="109"/>
        <v>0</v>
      </c>
      <c r="AG464" s="409">
        <f t="shared" ref="AG464:AK465" si="114">IF($H464=0,0,O464/$H464)</f>
        <v>0</v>
      </c>
      <c r="AH464" s="409">
        <f t="shared" si="114"/>
        <v>0</v>
      </c>
      <c r="AI464" s="409">
        <f t="shared" si="114"/>
        <v>1</v>
      </c>
      <c r="AJ464" s="409">
        <f t="shared" si="114"/>
        <v>0</v>
      </c>
      <c r="AK464" s="409">
        <f t="shared" si="114"/>
        <v>0</v>
      </c>
      <c r="AN464" s="391">
        <v>219896.95</v>
      </c>
      <c r="AO464" s="423">
        <f t="shared" si="104"/>
        <v>0</v>
      </c>
    </row>
    <row r="465" spans="1:41">
      <c r="A465" s="391" t="s">
        <v>616</v>
      </c>
      <c r="B465" s="408">
        <v>41394</v>
      </c>
      <c r="C465" s="391" t="s">
        <v>1440</v>
      </c>
      <c r="D465" s="391" t="s">
        <v>1441</v>
      </c>
      <c r="E465" s="391" t="s">
        <v>539</v>
      </c>
      <c r="F465" s="391" t="s">
        <v>540</v>
      </c>
      <c r="G465" s="391">
        <v>25</v>
      </c>
      <c r="H465" s="392">
        <v>64546.26</v>
      </c>
      <c r="I465" s="392">
        <v>7745.5499999999993</v>
      </c>
      <c r="J465" s="392">
        <v>2581.85</v>
      </c>
      <c r="K465" s="391" t="s">
        <v>505</v>
      </c>
      <c r="L465" s="391" t="s">
        <v>505</v>
      </c>
      <c r="O465" s="392">
        <f t="shared" si="113"/>
        <v>0</v>
      </c>
      <c r="P465" s="392">
        <f t="shared" si="113"/>
        <v>0</v>
      </c>
      <c r="Q465" s="392">
        <f t="shared" si="113"/>
        <v>64546.26</v>
      </c>
      <c r="R465" s="392">
        <f t="shared" si="113"/>
        <v>0</v>
      </c>
      <c r="S465" s="392">
        <f t="shared" si="113"/>
        <v>0</v>
      </c>
      <c r="U465" s="392">
        <f t="shared" si="108"/>
        <v>0</v>
      </c>
      <c r="V465" s="392">
        <f t="shared" si="108"/>
        <v>0</v>
      </c>
      <c r="W465" s="392">
        <f t="shared" si="108"/>
        <v>7745.5499999999993</v>
      </c>
      <c r="X465" s="392">
        <f t="shared" si="108"/>
        <v>0</v>
      </c>
      <c r="Y465" s="392">
        <f t="shared" si="108"/>
        <v>0</v>
      </c>
      <c r="AA465" s="392">
        <f t="shared" si="109"/>
        <v>0</v>
      </c>
      <c r="AB465" s="392">
        <f t="shared" si="109"/>
        <v>0</v>
      </c>
      <c r="AC465" s="392">
        <f t="shared" si="109"/>
        <v>2581.85</v>
      </c>
      <c r="AD465" s="392">
        <f t="shared" si="109"/>
        <v>0</v>
      </c>
      <c r="AE465" s="392">
        <f t="shared" si="109"/>
        <v>0</v>
      </c>
      <c r="AG465" s="409">
        <f t="shared" si="114"/>
        <v>0</v>
      </c>
      <c r="AH465" s="409">
        <f t="shared" si="114"/>
        <v>0</v>
      </c>
      <c r="AI465" s="409">
        <f t="shared" si="114"/>
        <v>1</v>
      </c>
      <c r="AJ465" s="409">
        <f t="shared" si="114"/>
        <v>0</v>
      </c>
      <c r="AK465" s="409">
        <f t="shared" si="114"/>
        <v>0</v>
      </c>
      <c r="AN465" s="391">
        <v>64546.26</v>
      </c>
      <c r="AO465" s="423">
        <f t="shared" si="104"/>
        <v>0</v>
      </c>
    </row>
    <row r="466" spans="1:41">
      <c r="A466" s="391" t="s">
        <v>585</v>
      </c>
      <c r="B466" s="408">
        <v>41394</v>
      </c>
      <c r="C466" s="391" t="s">
        <v>1442</v>
      </c>
      <c r="D466" s="391" t="s">
        <v>1443</v>
      </c>
      <c r="E466" s="391" t="s">
        <v>539</v>
      </c>
      <c r="F466" s="391" t="s">
        <v>540</v>
      </c>
      <c r="G466" s="391">
        <v>30</v>
      </c>
      <c r="H466" s="392">
        <v>334934.09000000003</v>
      </c>
      <c r="I466" s="392">
        <v>33493.409999999996</v>
      </c>
      <c r="J466" s="392">
        <v>11164.47</v>
      </c>
      <c r="K466" s="391" t="s">
        <v>505</v>
      </c>
      <c r="L466" s="391" t="s">
        <v>778</v>
      </c>
      <c r="O466" s="392">
        <f>$H466*AG466</f>
        <v>0</v>
      </c>
      <c r="P466" s="392">
        <f>$H466*AH466</f>
        <v>0</v>
      </c>
      <c r="Q466" s="392">
        <f>$H466*AI466</f>
        <v>334934.09000000003</v>
      </c>
      <c r="R466" s="392">
        <f>$H466*AJ466</f>
        <v>0</v>
      </c>
      <c r="S466" s="392">
        <f>$H466*AK466</f>
        <v>0</v>
      </c>
      <c r="U466" s="392">
        <f t="shared" si="108"/>
        <v>0</v>
      </c>
      <c r="V466" s="392">
        <f t="shared" si="108"/>
        <v>0</v>
      </c>
      <c r="W466" s="392">
        <f t="shared" si="108"/>
        <v>33493.409999999996</v>
      </c>
      <c r="X466" s="392">
        <f t="shared" si="108"/>
        <v>0</v>
      </c>
      <c r="Y466" s="392">
        <f t="shared" si="108"/>
        <v>0</v>
      </c>
      <c r="AA466" s="392">
        <f t="shared" si="109"/>
        <v>0</v>
      </c>
      <c r="AB466" s="392">
        <f t="shared" si="109"/>
        <v>0</v>
      </c>
      <c r="AC466" s="392">
        <f t="shared" si="109"/>
        <v>11164.47</v>
      </c>
      <c r="AD466" s="392">
        <f t="shared" si="109"/>
        <v>0</v>
      </c>
      <c r="AE466" s="392">
        <f t="shared" si="109"/>
        <v>0</v>
      </c>
      <c r="AG466" s="409">
        <v>0</v>
      </c>
      <c r="AH466" s="409">
        <v>0</v>
      </c>
      <c r="AI466" s="410">
        <v>1</v>
      </c>
      <c r="AJ466" s="409">
        <v>0</v>
      </c>
      <c r="AK466" s="409">
        <v>0</v>
      </c>
      <c r="AN466" s="391">
        <v>334934.09000000003</v>
      </c>
      <c r="AO466" s="423">
        <f t="shared" si="104"/>
        <v>0</v>
      </c>
    </row>
    <row r="467" spans="1:41">
      <c r="A467" s="391" t="s">
        <v>585</v>
      </c>
      <c r="B467" s="408">
        <v>41394</v>
      </c>
      <c r="C467" s="391" t="s">
        <v>1444</v>
      </c>
      <c r="D467" s="391" t="s">
        <v>1445</v>
      </c>
      <c r="E467" s="391" t="s">
        <v>539</v>
      </c>
      <c r="F467" s="391" t="s">
        <v>540</v>
      </c>
      <c r="G467" s="391">
        <v>30</v>
      </c>
      <c r="H467" s="392">
        <v>640098.49</v>
      </c>
      <c r="I467" s="392">
        <v>64009.86</v>
      </c>
      <c r="J467" s="392">
        <v>21336.62</v>
      </c>
      <c r="K467" s="391" t="s">
        <v>516</v>
      </c>
      <c r="L467" s="391" t="s">
        <v>516</v>
      </c>
      <c r="M467" s="391" t="s">
        <v>1446</v>
      </c>
      <c r="O467" s="414">
        <v>0</v>
      </c>
      <c r="P467" s="414">
        <v>6216</v>
      </c>
      <c r="Q467" s="414">
        <v>633882</v>
      </c>
      <c r="R467" s="414">
        <v>0</v>
      </c>
      <c r="S467" s="414">
        <v>0</v>
      </c>
      <c r="T467" s="414"/>
      <c r="U467" s="392">
        <f t="shared" si="108"/>
        <v>0</v>
      </c>
      <c r="V467" s="392">
        <f t="shared" si="108"/>
        <v>621.60010682106122</v>
      </c>
      <c r="W467" s="392">
        <f t="shared" si="108"/>
        <v>63388.210893170515</v>
      </c>
      <c r="X467" s="392">
        <f t="shared" si="108"/>
        <v>0</v>
      </c>
      <c r="Y467" s="392">
        <f t="shared" si="108"/>
        <v>0</v>
      </c>
      <c r="AA467" s="392">
        <f t="shared" si="109"/>
        <v>0</v>
      </c>
      <c r="AB467" s="392">
        <f t="shared" si="109"/>
        <v>207.20003560702042</v>
      </c>
      <c r="AC467" s="392">
        <f t="shared" si="109"/>
        <v>21129.403631056837</v>
      </c>
      <c r="AD467" s="392">
        <f t="shared" si="109"/>
        <v>0</v>
      </c>
      <c r="AE467" s="392">
        <f t="shared" si="109"/>
        <v>0</v>
      </c>
      <c r="AG467" s="409">
        <f>O467/$H467</f>
        <v>0</v>
      </c>
      <c r="AH467" s="409">
        <f>P467/$H467</f>
        <v>9.7110055672838726E-3</v>
      </c>
      <c r="AI467" s="409">
        <f>Q467/$H467</f>
        <v>0.99028822892552049</v>
      </c>
      <c r="AJ467" s="409">
        <f>R467/$H467</f>
        <v>0</v>
      </c>
      <c r="AK467" s="409">
        <f>S467/$H467</f>
        <v>0</v>
      </c>
      <c r="AN467" s="391">
        <v>640098.49</v>
      </c>
      <c r="AO467" s="423">
        <f t="shared" si="104"/>
        <v>0</v>
      </c>
    </row>
    <row r="468" spans="1:41">
      <c r="A468" s="391" t="s">
        <v>572</v>
      </c>
      <c r="B468" s="408">
        <v>41394</v>
      </c>
      <c r="C468" s="391" t="s">
        <v>1447</v>
      </c>
      <c r="D468" s="391" t="s">
        <v>1448</v>
      </c>
      <c r="E468" s="391" t="s">
        <v>539</v>
      </c>
      <c r="F468" s="391" t="s">
        <v>540</v>
      </c>
      <c r="G468" s="391">
        <v>30</v>
      </c>
      <c r="H468" s="392">
        <v>332284.15999999997</v>
      </c>
      <c r="I468" s="392">
        <v>33228.42</v>
      </c>
      <c r="J468" s="392">
        <v>11076.14</v>
      </c>
      <c r="K468" s="391" t="s">
        <v>505</v>
      </c>
      <c r="L468" s="391" t="s">
        <v>505</v>
      </c>
      <c r="O468" s="392">
        <f t="shared" ref="O468:S477" si="115">IF(O$8=$K468,$H468,0)</f>
        <v>0</v>
      </c>
      <c r="P468" s="392">
        <f t="shared" si="115"/>
        <v>0</v>
      </c>
      <c r="Q468" s="392">
        <f t="shared" si="115"/>
        <v>332284.15999999997</v>
      </c>
      <c r="R468" s="392">
        <f t="shared" si="115"/>
        <v>0</v>
      </c>
      <c r="S468" s="392">
        <f t="shared" si="115"/>
        <v>0</v>
      </c>
      <c r="U468" s="392">
        <f t="shared" si="108"/>
        <v>0</v>
      </c>
      <c r="V468" s="392">
        <f t="shared" si="108"/>
        <v>0</v>
      </c>
      <c r="W468" s="392">
        <f t="shared" si="108"/>
        <v>33228.42</v>
      </c>
      <c r="X468" s="392">
        <f t="shared" si="108"/>
        <v>0</v>
      </c>
      <c r="Y468" s="392">
        <f t="shared" si="108"/>
        <v>0</v>
      </c>
      <c r="AA468" s="392">
        <f t="shared" si="109"/>
        <v>0</v>
      </c>
      <c r="AB468" s="392">
        <f t="shared" si="109"/>
        <v>0</v>
      </c>
      <c r="AC468" s="392">
        <f t="shared" si="109"/>
        <v>11076.14</v>
      </c>
      <c r="AD468" s="392">
        <f t="shared" si="109"/>
        <v>0</v>
      </c>
      <c r="AE468" s="392">
        <f t="shared" si="109"/>
        <v>0</v>
      </c>
      <c r="AG468" s="409">
        <f>IF($H468=0,0,O468/$H468)</f>
        <v>0</v>
      </c>
      <c r="AH468" s="409">
        <f>IF($H468=0,0,P468/$H468)</f>
        <v>0</v>
      </c>
      <c r="AI468" s="409">
        <f>IF($H468=0,0,Q468/$H468)</f>
        <v>1</v>
      </c>
      <c r="AJ468" s="409">
        <f>IF($H468=0,0,R468/$H468)</f>
        <v>0</v>
      </c>
      <c r="AK468" s="409">
        <f>IF($H468=0,0,S468/$H468)</f>
        <v>0</v>
      </c>
      <c r="AN468" s="391">
        <v>332284.15999999997</v>
      </c>
      <c r="AO468" s="423">
        <f t="shared" si="104"/>
        <v>0</v>
      </c>
    </row>
    <row r="469" spans="1:41">
      <c r="A469" s="416" t="s">
        <v>646</v>
      </c>
      <c r="B469" s="417">
        <v>41411</v>
      </c>
      <c r="C469" s="416" t="s">
        <v>1449</v>
      </c>
      <c r="D469" s="416" t="s">
        <v>1450</v>
      </c>
      <c r="E469" s="416" t="s">
        <v>547</v>
      </c>
      <c r="F469" s="416" t="s">
        <v>540</v>
      </c>
      <c r="G469" s="416">
        <v>5</v>
      </c>
      <c r="H469" s="392">
        <v>32470.5</v>
      </c>
      <c r="I469" s="392">
        <v>12988.2</v>
      </c>
      <c r="J469" s="392">
        <f t="shared" ref="J469:J514" si="116">H469/G469</f>
        <v>6494.1</v>
      </c>
      <c r="K469" s="416" t="s">
        <v>515</v>
      </c>
      <c r="L469" s="416" t="s">
        <v>505</v>
      </c>
      <c r="O469" s="392">
        <f t="shared" si="115"/>
        <v>0</v>
      </c>
      <c r="P469" s="392">
        <f t="shared" si="115"/>
        <v>0</v>
      </c>
      <c r="Q469" s="392">
        <f t="shared" si="115"/>
        <v>0</v>
      </c>
      <c r="R469" s="392">
        <f t="shared" si="115"/>
        <v>32470.5</v>
      </c>
      <c r="S469" s="392">
        <f t="shared" si="115"/>
        <v>0</v>
      </c>
      <c r="U469" s="392">
        <f t="shared" si="108"/>
        <v>0</v>
      </c>
      <c r="V469" s="392">
        <f t="shared" si="108"/>
        <v>0</v>
      </c>
      <c r="W469" s="392">
        <f t="shared" si="108"/>
        <v>0</v>
      </c>
      <c r="X469" s="392">
        <f t="shared" si="108"/>
        <v>12988.2</v>
      </c>
      <c r="Y469" s="392">
        <f t="shared" si="108"/>
        <v>0</v>
      </c>
      <c r="AA469" s="392">
        <f t="shared" si="109"/>
        <v>0</v>
      </c>
      <c r="AB469" s="392">
        <f t="shared" si="109"/>
        <v>0</v>
      </c>
      <c r="AC469" s="392">
        <f t="shared" si="109"/>
        <v>0</v>
      </c>
      <c r="AD469" s="392">
        <f t="shared" si="109"/>
        <v>6494.1</v>
      </c>
      <c r="AE469" s="392">
        <f t="shared" si="109"/>
        <v>0</v>
      </c>
      <c r="AG469" s="409">
        <f t="shared" ref="AG469:AK484" si="117">IF($H469=0,0,O469/$H469)</f>
        <v>0</v>
      </c>
      <c r="AH469" s="409">
        <f t="shared" si="117"/>
        <v>0</v>
      </c>
      <c r="AI469" s="409">
        <f t="shared" si="117"/>
        <v>0</v>
      </c>
      <c r="AJ469" s="409">
        <f t="shared" si="117"/>
        <v>1</v>
      </c>
      <c r="AK469" s="409">
        <f t="shared" si="117"/>
        <v>0</v>
      </c>
      <c r="AN469" s="391">
        <v>32470.5</v>
      </c>
      <c r="AO469" s="423">
        <f t="shared" si="104"/>
        <v>0</v>
      </c>
    </row>
    <row r="470" spans="1:41">
      <c r="A470" s="416" t="s">
        <v>646</v>
      </c>
      <c r="B470" s="417">
        <v>41411</v>
      </c>
      <c r="C470" s="416" t="s">
        <v>1451</v>
      </c>
      <c r="D470" s="416" t="s">
        <v>1452</v>
      </c>
      <c r="E470" s="416" t="s">
        <v>547</v>
      </c>
      <c r="F470" s="416" t="s">
        <v>540</v>
      </c>
      <c r="G470" s="416">
        <v>5</v>
      </c>
      <c r="H470" s="392">
        <v>26271.5</v>
      </c>
      <c r="I470" s="392">
        <v>10508.6</v>
      </c>
      <c r="J470" s="392">
        <f t="shared" si="116"/>
        <v>5254.3</v>
      </c>
      <c r="K470" s="416" t="s">
        <v>515</v>
      </c>
      <c r="L470" s="416" t="s">
        <v>505</v>
      </c>
      <c r="O470" s="392">
        <f t="shared" si="115"/>
        <v>0</v>
      </c>
      <c r="P470" s="392">
        <f t="shared" si="115"/>
        <v>0</v>
      </c>
      <c r="Q470" s="392">
        <f t="shared" si="115"/>
        <v>0</v>
      </c>
      <c r="R470" s="392">
        <f t="shared" si="115"/>
        <v>26271.5</v>
      </c>
      <c r="S470" s="392">
        <f t="shared" si="115"/>
        <v>0</v>
      </c>
      <c r="U470" s="392">
        <f t="shared" si="108"/>
        <v>0</v>
      </c>
      <c r="V470" s="392">
        <f t="shared" si="108"/>
        <v>0</v>
      </c>
      <c r="W470" s="392">
        <f t="shared" si="108"/>
        <v>0</v>
      </c>
      <c r="X470" s="392">
        <f t="shared" si="108"/>
        <v>10508.6</v>
      </c>
      <c r="Y470" s="392">
        <f t="shared" si="108"/>
        <v>0</v>
      </c>
      <c r="AA470" s="392">
        <f t="shared" si="109"/>
        <v>0</v>
      </c>
      <c r="AB470" s="392">
        <f t="shared" si="109"/>
        <v>0</v>
      </c>
      <c r="AC470" s="392">
        <f t="shared" si="109"/>
        <v>0</v>
      </c>
      <c r="AD470" s="392">
        <f t="shared" si="109"/>
        <v>5254.3</v>
      </c>
      <c r="AE470" s="392">
        <f t="shared" si="109"/>
        <v>0</v>
      </c>
      <c r="AG470" s="409">
        <f t="shared" si="117"/>
        <v>0</v>
      </c>
      <c r="AH470" s="409">
        <f t="shared" si="117"/>
        <v>0</v>
      </c>
      <c r="AI470" s="409">
        <f t="shared" si="117"/>
        <v>0</v>
      </c>
      <c r="AJ470" s="409">
        <f t="shared" si="117"/>
        <v>1</v>
      </c>
      <c r="AK470" s="409">
        <f t="shared" si="117"/>
        <v>0</v>
      </c>
      <c r="AN470" s="391">
        <v>26271.5</v>
      </c>
      <c r="AO470" s="423">
        <f t="shared" si="104"/>
        <v>0</v>
      </c>
    </row>
    <row r="471" spans="1:41">
      <c r="A471" s="416" t="s">
        <v>1148</v>
      </c>
      <c r="B471" s="417">
        <v>41495</v>
      </c>
      <c r="C471" s="416" t="s">
        <v>1453</v>
      </c>
      <c r="D471" s="416" t="s">
        <v>1454</v>
      </c>
      <c r="E471" s="416" t="s">
        <v>547</v>
      </c>
      <c r="F471" s="416" t="s">
        <v>540</v>
      </c>
      <c r="G471" s="416">
        <v>5</v>
      </c>
      <c r="H471" s="392">
        <v>22874.5</v>
      </c>
      <c r="I471" s="392">
        <v>9149.7999999999993</v>
      </c>
      <c r="J471" s="392">
        <f t="shared" si="116"/>
        <v>4574.8999999999996</v>
      </c>
      <c r="K471" s="416" t="s">
        <v>515</v>
      </c>
      <c r="L471" s="416" t="s">
        <v>504</v>
      </c>
      <c r="O471" s="392">
        <f t="shared" si="115"/>
        <v>0</v>
      </c>
      <c r="P471" s="392">
        <f t="shared" si="115"/>
        <v>0</v>
      </c>
      <c r="Q471" s="392">
        <f t="shared" si="115"/>
        <v>0</v>
      </c>
      <c r="R471" s="392">
        <f t="shared" si="115"/>
        <v>22874.5</v>
      </c>
      <c r="S471" s="392">
        <f t="shared" si="115"/>
        <v>0</v>
      </c>
      <c r="U471" s="392">
        <f t="shared" si="108"/>
        <v>0</v>
      </c>
      <c r="V471" s="392">
        <f t="shared" si="108"/>
        <v>0</v>
      </c>
      <c r="W471" s="392">
        <f t="shared" si="108"/>
        <v>0</v>
      </c>
      <c r="X471" s="392">
        <f t="shared" si="108"/>
        <v>9149.7999999999993</v>
      </c>
      <c r="Y471" s="392">
        <f t="shared" si="108"/>
        <v>0</v>
      </c>
      <c r="AA471" s="392">
        <f t="shared" si="109"/>
        <v>0</v>
      </c>
      <c r="AB471" s="392">
        <f t="shared" si="109"/>
        <v>0</v>
      </c>
      <c r="AC471" s="392">
        <f t="shared" si="109"/>
        <v>0</v>
      </c>
      <c r="AD471" s="392">
        <f t="shared" si="109"/>
        <v>4574.8999999999996</v>
      </c>
      <c r="AE471" s="392">
        <f t="shared" si="109"/>
        <v>0</v>
      </c>
      <c r="AG471" s="409">
        <f t="shared" si="117"/>
        <v>0</v>
      </c>
      <c r="AH471" s="409">
        <f t="shared" si="117"/>
        <v>0</v>
      </c>
      <c r="AI471" s="409">
        <f t="shared" si="117"/>
        <v>0</v>
      </c>
      <c r="AJ471" s="409">
        <f t="shared" si="117"/>
        <v>1</v>
      </c>
      <c r="AK471" s="409">
        <f t="shared" si="117"/>
        <v>0</v>
      </c>
      <c r="AN471" s="391">
        <v>22874.5</v>
      </c>
      <c r="AO471" s="423">
        <f t="shared" si="104"/>
        <v>0</v>
      </c>
    </row>
    <row r="472" spans="1:41">
      <c r="A472" s="416" t="s">
        <v>1148</v>
      </c>
      <c r="B472" s="417">
        <v>41509</v>
      </c>
      <c r="C472" s="416" t="s">
        <v>1455</v>
      </c>
      <c r="D472" s="416" t="s">
        <v>1456</v>
      </c>
      <c r="E472" s="416" t="s">
        <v>547</v>
      </c>
      <c r="F472" s="416" t="s">
        <v>540</v>
      </c>
      <c r="G472" s="416">
        <v>5</v>
      </c>
      <c r="H472" s="392">
        <v>360</v>
      </c>
      <c r="I472" s="392">
        <v>144</v>
      </c>
      <c r="J472" s="392">
        <f t="shared" si="116"/>
        <v>72</v>
      </c>
      <c r="K472" s="416" t="s">
        <v>515</v>
      </c>
      <c r="L472" s="416" t="s">
        <v>504</v>
      </c>
      <c r="O472" s="392">
        <f t="shared" si="115"/>
        <v>0</v>
      </c>
      <c r="P472" s="392">
        <f t="shared" si="115"/>
        <v>0</v>
      </c>
      <c r="Q472" s="392">
        <f t="shared" si="115"/>
        <v>0</v>
      </c>
      <c r="R472" s="392">
        <f t="shared" si="115"/>
        <v>360</v>
      </c>
      <c r="S472" s="392">
        <f t="shared" si="115"/>
        <v>0</v>
      </c>
      <c r="U472" s="392">
        <f t="shared" si="108"/>
        <v>0</v>
      </c>
      <c r="V472" s="392">
        <f t="shared" si="108"/>
        <v>0</v>
      </c>
      <c r="W472" s="392">
        <f t="shared" si="108"/>
        <v>0</v>
      </c>
      <c r="X472" s="392">
        <f t="shared" si="108"/>
        <v>144</v>
      </c>
      <c r="Y472" s="392">
        <f t="shared" si="108"/>
        <v>0</v>
      </c>
      <c r="AA472" s="392">
        <f t="shared" si="109"/>
        <v>0</v>
      </c>
      <c r="AB472" s="392">
        <f t="shared" si="109"/>
        <v>0</v>
      </c>
      <c r="AC472" s="392">
        <f t="shared" si="109"/>
        <v>0</v>
      </c>
      <c r="AD472" s="392">
        <f t="shared" si="109"/>
        <v>72</v>
      </c>
      <c r="AE472" s="392">
        <f t="shared" si="109"/>
        <v>0</v>
      </c>
      <c r="AG472" s="409">
        <f t="shared" si="117"/>
        <v>0</v>
      </c>
      <c r="AH472" s="409">
        <f t="shared" si="117"/>
        <v>0</v>
      </c>
      <c r="AI472" s="409">
        <f t="shared" si="117"/>
        <v>0</v>
      </c>
      <c r="AJ472" s="409">
        <f t="shared" si="117"/>
        <v>1</v>
      </c>
      <c r="AK472" s="409">
        <f t="shared" si="117"/>
        <v>0</v>
      </c>
      <c r="AN472" s="391">
        <v>360</v>
      </c>
      <c r="AO472" s="423">
        <f t="shared" si="104"/>
        <v>0</v>
      </c>
    </row>
    <row r="473" spans="1:41">
      <c r="A473" s="416" t="s">
        <v>646</v>
      </c>
      <c r="B473" s="417">
        <v>41523</v>
      </c>
      <c r="C473" s="416" t="s">
        <v>1451</v>
      </c>
      <c r="D473" s="416" t="s">
        <v>1457</v>
      </c>
      <c r="E473" s="416" t="s">
        <v>547</v>
      </c>
      <c r="F473" s="416" t="s">
        <v>540</v>
      </c>
      <c r="G473" s="416">
        <v>5</v>
      </c>
      <c r="H473" s="392">
        <v>26274.5</v>
      </c>
      <c r="I473" s="392">
        <v>10509.8</v>
      </c>
      <c r="J473" s="392">
        <f t="shared" si="116"/>
        <v>5254.9</v>
      </c>
      <c r="K473" s="416" t="s">
        <v>515</v>
      </c>
      <c r="L473" s="416" t="s">
        <v>505</v>
      </c>
      <c r="O473" s="392">
        <f t="shared" si="115"/>
        <v>0</v>
      </c>
      <c r="P473" s="392">
        <f t="shared" si="115"/>
        <v>0</v>
      </c>
      <c r="Q473" s="392">
        <f t="shared" si="115"/>
        <v>0</v>
      </c>
      <c r="R473" s="392">
        <f t="shared" si="115"/>
        <v>26274.5</v>
      </c>
      <c r="S473" s="392">
        <f t="shared" si="115"/>
        <v>0</v>
      </c>
      <c r="U473" s="392">
        <f t="shared" si="108"/>
        <v>0</v>
      </c>
      <c r="V473" s="392">
        <f t="shared" si="108"/>
        <v>0</v>
      </c>
      <c r="W473" s="392">
        <f t="shared" si="108"/>
        <v>0</v>
      </c>
      <c r="X473" s="392">
        <f t="shared" si="108"/>
        <v>10509.8</v>
      </c>
      <c r="Y473" s="392">
        <f t="shared" si="108"/>
        <v>0</v>
      </c>
      <c r="AA473" s="392">
        <f t="shared" si="109"/>
        <v>0</v>
      </c>
      <c r="AB473" s="392">
        <f t="shared" si="109"/>
        <v>0</v>
      </c>
      <c r="AC473" s="392">
        <f t="shared" si="109"/>
        <v>0</v>
      </c>
      <c r="AD473" s="392">
        <f t="shared" si="109"/>
        <v>5254.9</v>
      </c>
      <c r="AE473" s="392">
        <f t="shared" si="109"/>
        <v>0</v>
      </c>
      <c r="AG473" s="409">
        <f t="shared" si="117"/>
        <v>0</v>
      </c>
      <c r="AH473" s="409">
        <f t="shared" si="117"/>
        <v>0</v>
      </c>
      <c r="AI473" s="409">
        <f t="shared" si="117"/>
        <v>0</v>
      </c>
      <c r="AJ473" s="409">
        <f t="shared" si="117"/>
        <v>1</v>
      </c>
      <c r="AK473" s="409">
        <f t="shared" si="117"/>
        <v>0</v>
      </c>
      <c r="AN473" s="391">
        <v>26274.5</v>
      </c>
      <c r="AO473" s="423">
        <f t="shared" si="104"/>
        <v>0</v>
      </c>
    </row>
    <row r="474" spans="1:41">
      <c r="A474" s="416" t="s">
        <v>632</v>
      </c>
      <c r="B474" s="417">
        <v>41523</v>
      </c>
      <c r="C474" s="416" t="s">
        <v>1458</v>
      </c>
      <c r="D474" s="416" t="s">
        <v>1459</v>
      </c>
      <c r="E474" s="416" t="s">
        <v>547</v>
      </c>
      <c r="F474" s="416" t="s">
        <v>540</v>
      </c>
      <c r="G474" s="416">
        <v>5</v>
      </c>
      <c r="H474" s="392">
        <v>6668.54</v>
      </c>
      <c r="I474" s="392">
        <v>2667.42</v>
      </c>
      <c r="J474" s="392">
        <f t="shared" si="116"/>
        <v>1333.7080000000001</v>
      </c>
      <c r="K474" s="416" t="s">
        <v>515</v>
      </c>
      <c r="L474" s="416" t="s">
        <v>505</v>
      </c>
      <c r="O474" s="392">
        <f t="shared" si="115"/>
        <v>0</v>
      </c>
      <c r="P474" s="392">
        <f t="shared" si="115"/>
        <v>0</v>
      </c>
      <c r="Q474" s="392">
        <f t="shared" si="115"/>
        <v>0</v>
      </c>
      <c r="R474" s="392">
        <f t="shared" si="115"/>
        <v>6668.54</v>
      </c>
      <c r="S474" s="392">
        <f t="shared" si="115"/>
        <v>0</v>
      </c>
      <c r="U474" s="392">
        <f t="shared" si="108"/>
        <v>0</v>
      </c>
      <c r="V474" s="392">
        <f t="shared" si="108"/>
        <v>0</v>
      </c>
      <c r="W474" s="392">
        <f t="shared" si="108"/>
        <v>0</v>
      </c>
      <c r="X474" s="392">
        <f t="shared" si="108"/>
        <v>2667.42</v>
      </c>
      <c r="Y474" s="392">
        <f t="shared" si="108"/>
        <v>0</v>
      </c>
      <c r="AA474" s="392">
        <f t="shared" si="109"/>
        <v>0</v>
      </c>
      <c r="AB474" s="392">
        <f t="shared" si="109"/>
        <v>0</v>
      </c>
      <c r="AC474" s="392">
        <f t="shared" si="109"/>
        <v>0</v>
      </c>
      <c r="AD474" s="392">
        <f t="shared" si="109"/>
        <v>1333.7080000000001</v>
      </c>
      <c r="AE474" s="392">
        <f t="shared" si="109"/>
        <v>0</v>
      </c>
      <c r="AG474" s="409">
        <f t="shared" si="117"/>
        <v>0</v>
      </c>
      <c r="AH474" s="409">
        <f t="shared" si="117"/>
        <v>0</v>
      </c>
      <c r="AI474" s="409">
        <f t="shared" si="117"/>
        <v>0</v>
      </c>
      <c r="AJ474" s="409">
        <f t="shared" si="117"/>
        <v>1</v>
      </c>
      <c r="AK474" s="409">
        <f t="shared" si="117"/>
        <v>0</v>
      </c>
      <c r="AN474" s="391">
        <v>6668.54</v>
      </c>
      <c r="AO474" s="423">
        <f t="shared" si="104"/>
        <v>0</v>
      </c>
    </row>
    <row r="475" spans="1:41">
      <c r="A475" s="416" t="s">
        <v>632</v>
      </c>
      <c r="B475" s="417">
        <v>41605</v>
      </c>
      <c r="C475" s="416" t="s">
        <v>1460</v>
      </c>
      <c r="D475" s="416" t="s">
        <v>1461</v>
      </c>
      <c r="E475" s="416" t="s">
        <v>547</v>
      </c>
      <c r="F475" s="416" t="s">
        <v>540</v>
      </c>
      <c r="G475" s="416">
        <v>5</v>
      </c>
      <c r="H475" s="392">
        <v>8657.73</v>
      </c>
      <c r="I475" s="392">
        <v>3463.1</v>
      </c>
      <c r="J475" s="392">
        <f t="shared" si="116"/>
        <v>1731.5459999999998</v>
      </c>
      <c r="K475" s="416" t="s">
        <v>515</v>
      </c>
      <c r="L475" s="416" t="s">
        <v>505</v>
      </c>
      <c r="O475" s="392">
        <f t="shared" si="115"/>
        <v>0</v>
      </c>
      <c r="P475" s="392">
        <f t="shared" si="115"/>
        <v>0</v>
      </c>
      <c r="Q475" s="392">
        <f t="shared" si="115"/>
        <v>0</v>
      </c>
      <c r="R475" s="392">
        <f t="shared" si="115"/>
        <v>8657.73</v>
      </c>
      <c r="S475" s="392">
        <f t="shared" si="115"/>
        <v>0</v>
      </c>
      <c r="U475" s="392">
        <f t="shared" si="108"/>
        <v>0</v>
      </c>
      <c r="V475" s="392">
        <f t="shared" si="108"/>
        <v>0</v>
      </c>
      <c r="W475" s="392">
        <f t="shared" si="108"/>
        <v>0</v>
      </c>
      <c r="X475" s="392">
        <f t="shared" si="108"/>
        <v>3463.1</v>
      </c>
      <c r="Y475" s="392">
        <f t="shared" si="108"/>
        <v>0</v>
      </c>
      <c r="AA475" s="392">
        <f t="shared" si="109"/>
        <v>0</v>
      </c>
      <c r="AB475" s="392">
        <f t="shared" si="109"/>
        <v>0</v>
      </c>
      <c r="AC475" s="392">
        <f t="shared" si="109"/>
        <v>0</v>
      </c>
      <c r="AD475" s="392">
        <f t="shared" si="109"/>
        <v>1731.5459999999998</v>
      </c>
      <c r="AE475" s="392">
        <f t="shared" si="109"/>
        <v>0</v>
      </c>
      <c r="AG475" s="409">
        <f t="shared" si="117"/>
        <v>0</v>
      </c>
      <c r="AH475" s="409">
        <f t="shared" si="117"/>
        <v>0</v>
      </c>
      <c r="AI475" s="409">
        <f t="shared" si="117"/>
        <v>0</v>
      </c>
      <c r="AJ475" s="409">
        <f t="shared" si="117"/>
        <v>1</v>
      </c>
      <c r="AK475" s="409">
        <f t="shared" si="117"/>
        <v>0</v>
      </c>
      <c r="AN475" s="391">
        <v>8657.73</v>
      </c>
      <c r="AO475" s="423">
        <f t="shared" si="104"/>
        <v>0</v>
      </c>
    </row>
    <row r="476" spans="1:41">
      <c r="A476" s="416" t="s">
        <v>646</v>
      </c>
      <c r="B476" s="417">
        <v>41621</v>
      </c>
      <c r="C476" s="416" t="s">
        <v>1462</v>
      </c>
      <c r="D476" s="416" t="s">
        <v>1463</v>
      </c>
      <c r="E476" s="416" t="s">
        <v>547</v>
      </c>
      <c r="F476" s="416" t="s">
        <v>540</v>
      </c>
      <c r="G476" s="416">
        <v>5</v>
      </c>
      <c r="H476" s="392">
        <v>39715.5</v>
      </c>
      <c r="I476" s="392">
        <v>15886.2</v>
      </c>
      <c r="J476" s="392">
        <f t="shared" si="116"/>
        <v>7943.1</v>
      </c>
      <c r="K476" s="416" t="s">
        <v>515</v>
      </c>
      <c r="L476" s="416" t="s">
        <v>505</v>
      </c>
      <c r="O476" s="392">
        <f t="shared" si="115"/>
        <v>0</v>
      </c>
      <c r="P476" s="392">
        <f t="shared" si="115"/>
        <v>0</v>
      </c>
      <c r="Q476" s="392">
        <f t="shared" si="115"/>
        <v>0</v>
      </c>
      <c r="R476" s="392">
        <f t="shared" si="115"/>
        <v>39715.5</v>
      </c>
      <c r="S476" s="392">
        <f t="shared" si="115"/>
        <v>0</v>
      </c>
      <c r="U476" s="392">
        <f t="shared" si="108"/>
        <v>0</v>
      </c>
      <c r="V476" s="392">
        <f t="shared" si="108"/>
        <v>0</v>
      </c>
      <c r="W476" s="392">
        <f t="shared" si="108"/>
        <v>0</v>
      </c>
      <c r="X476" s="392">
        <f t="shared" si="108"/>
        <v>15886.2</v>
      </c>
      <c r="Y476" s="392">
        <f t="shared" si="108"/>
        <v>0</v>
      </c>
      <c r="AA476" s="392">
        <f t="shared" si="109"/>
        <v>0</v>
      </c>
      <c r="AB476" s="392">
        <f t="shared" si="109"/>
        <v>0</v>
      </c>
      <c r="AC476" s="392">
        <f t="shared" si="109"/>
        <v>0</v>
      </c>
      <c r="AD476" s="392">
        <f t="shared" si="109"/>
        <v>7943.1</v>
      </c>
      <c r="AE476" s="392">
        <f t="shared" si="109"/>
        <v>0</v>
      </c>
      <c r="AG476" s="409">
        <f t="shared" si="117"/>
        <v>0</v>
      </c>
      <c r="AH476" s="409">
        <f t="shared" si="117"/>
        <v>0</v>
      </c>
      <c r="AI476" s="409">
        <f t="shared" si="117"/>
        <v>0</v>
      </c>
      <c r="AJ476" s="409">
        <f t="shared" si="117"/>
        <v>1</v>
      </c>
      <c r="AK476" s="409">
        <f t="shared" si="117"/>
        <v>0</v>
      </c>
      <c r="AN476" s="391">
        <v>39715.5</v>
      </c>
      <c r="AO476" s="423">
        <f t="shared" si="104"/>
        <v>0</v>
      </c>
    </row>
    <row r="477" spans="1:41">
      <c r="A477" s="416" t="s">
        <v>646</v>
      </c>
      <c r="B477" s="417">
        <v>41746</v>
      </c>
      <c r="C477" s="416" t="s">
        <v>1464</v>
      </c>
      <c r="D477" s="416" t="s">
        <v>1465</v>
      </c>
      <c r="E477" s="416" t="s">
        <v>547</v>
      </c>
      <c r="F477" s="416" t="s">
        <v>540</v>
      </c>
      <c r="G477" s="416">
        <v>5</v>
      </c>
      <c r="H477" s="392">
        <v>41799.5</v>
      </c>
      <c r="I477" s="392">
        <v>16719.8</v>
      </c>
      <c r="J477" s="392">
        <f t="shared" si="116"/>
        <v>8359.9</v>
      </c>
      <c r="K477" s="416" t="s">
        <v>515</v>
      </c>
      <c r="L477" s="416" t="s">
        <v>505</v>
      </c>
      <c r="O477" s="392">
        <f t="shared" si="115"/>
        <v>0</v>
      </c>
      <c r="P477" s="392">
        <f t="shared" si="115"/>
        <v>0</v>
      </c>
      <c r="Q477" s="392">
        <f t="shared" si="115"/>
        <v>0</v>
      </c>
      <c r="R477" s="392">
        <f t="shared" si="115"/>
        <v>41799.5</v>
      </c>
      <c r="S477" s="392">
        <f t="shared" si="115"/>
        <v>0</v>
      </c>
      <c r="U477" s="392">
        <f t="shared" si="108"/>
        <v>0</v>
      </c>
      <c r="V477" s="392">
        <f t="shared" si="108"/>
        <v>0</v>
      </c>
      <c r="W477" s="392">
        <f t="shared" si="108"/>
        <v>0</v>
      </c>
      <c r="X477" s="392">
        <f t="shared" si="108"/>
        <v>16719.8</v>
      </c>
      <c r="Y477" s="392">
        <f t="shared" si="108"/>
        <v>0</v>
      </c>
      <c r="AA477" s="392">
        <f t="shared" si="109"/>
        <v>0</v>
      </c>
      <c r="AB477" s="392">
        <f t="shared" si="109"/>
        <v>0</v>
      </c>
      <c r="AC477" s="392">
        <f t="shared" si="109"/>
        <v>0</v>
      </c>
      <c r="AD477" s="392">
        <f t="shared" si="109"/>
        <v>8359.9</v>
      </c>
      <c r="AE477" s="392">
        <f t="shared" si="109"/>
        <v>0</v>
      </c>
      <c r="AG477" s="409">
        <f t="shared" si="117"/>
        <v>0</v>
      </c>
      <c r="AH477" s="409">
        <f t="shared" si="117"/>
        <v>0</v>
      </c>
      <c r="AI477" s="409">
        <f t="shared" si="117"/>
        <v>0</v>
      </c>
      <c r="AJ477" s="409">
        <f t="shared" si="117"/>
        <v>1</v>
      </c>
      <c r="AK477" s="409">
        <f t="shared" si="117"/>
        <v>0</v>
      </c>
      <c r="AN477" s="391">
        <v>41799.5</v>
      </c>
      <c r="AO477" s="423">
        <f t="shared" si="104"/>
        <v>0</v>
      </c>
    </row>
    <row r="478" spans="1:41">
      <c r="A478" s="416" t="s">
        <v>567</v>
      </c>
      <c r="B478" s="417">
        <v>41759</v>
      </c>
      <c r="C478" s="416" t="s">
        <v>1466</v>
      </c>
      <c r="D478" s="416" t="s">
        <v>1467</v>
      </c>
      <c r="E478" s="416" t="s">
        <v>547</v>
      </c>
      <c r="F478" s="416" t="s">
        <v>540</v>
      </c>
      <c r="G478" s="416">
        <v>30</v>
      </c>
      <c r="H478" s="392">
        <v>190197.9</v>
      </c>
      <c r="I478" s="392">
        <v>12679.86</v>
      </c>
      <c r="J478" s="392">
        <f t="shared" si="116"/>
        <v>6339.9299999999994</v>
      </c>
      <c r="K478" s="416" t="s">
        <v>505</v>
      </c>
      <c r="L478" s="416" t="s">
        <v>505</v>
      </c>
      <c r="O478" s="392">
        <f t="shared" ref="O478:S487" si="118">IF(O$8=$K478,$H478,0)</f>
        <v>0</v>
      </c>
      <c r="P478" s="392">
        <f t="shared" si="118"/>
        <v>0</v>
      </c>
      <c r="Q478" s="392">
        <f t="shared" si="118"/>
        <v>190197.9</v>
      </c>
      <c r="R478" s="392">
        <f t="shared" si="118"/>
        <v>0</v>
      </c>
      <c r="S478" s="392">
        <f t="shared" si="118"/>
        <v>0</v>
      </c>
      <c r="U478" s="392">
        <f t="shared" si="108"/>
        <v>0</v>
      </c>
      <c r="V478" s="392">
        <f t="shared" si="108"/>
        <v>0</v>
      </c>
      <c r="W478" s="392">
        <f t="shared" si="108"/>
        <v>12679.86</v>
      </c>
      <c r="X478" s="392">
        <f t="shared" si="108"/>
        <v>0</v>
      </c>
      <c r="Y478" s="392">
        <f t="shared" si="108"/>
        <v>0</v>
      </c>
      <c r="AA478" s="392">
        <f t="shared" si="109"/>
        <v>0</v>
      </c>
      <c r="AB478" s="392">
        <f t="shared" si="109"/>
        <v>0</v>
      </c>
      <c r="AC478" s="392">
        <f t="shared" si="109"/>
        <v>6339.9299999999994</v>
      </c>
      <c r="AD478" s="392">
        <f t="shared" si="109"/>
        <v>0</v>
      </c>
      <c r="AE478" s="392">
        <f t="shared" si="109"/>
        <v>0</v>
      </c>
      <c r="AG478" s="409">
        <f t="shared" si="117"/>
        <v>0</v>
      </c>
      <c r="AH478" s="409">
        <f t="shared" si="117"/>
        <v>0</v>
      </c>
      <c r="AI478" s="409">
        <f t="shared" si="117"/>
        <v>1</v>
      </c>
      <c r="AJ478" s="409">
        <f t="shared" si="117"/>
        <v>0</v>
      </c>
      <c r="AK478" s="409">
        <f t="shared" si="117"/>
        <v>0</v>
      </c>
      <c r="AN478" s="391">
        <v>190197.9</v>
      </c>
      <c r="AO478" s="423">
        <f t="shared" si="104"/>
        <v>0</v>
      </c>
    </row>
    <row r="479" spans="1:41">
      <c r="A479" s="416" t="s">
        <v>616</v>
      </c>
      <c r="B479" s="417">
        <v>41759</v>
      </c>
      <c r="C479" s="416" t="s">
        <v>1468</v>
      </c>
      <c r="D479" s="416" t="s">
        <v>1469</v>
      </c>
      <c r="E479" s="416" t="s">
        <v>547</v>
      </c>
      <c r="F479" s="416" t="s">
        <v>540</v>
      </c>
      <c r="G479" s="416">
        <v>25</v>
      </c>
      <c r="H479" s="392">
        <v>51567.47</v>
      </c>
      <c r="I479" s="392">
        <v>4125.3999999999996</v>
      </c>
      <c r="J479" s="392">
        <f t="shared" si="116"/>
        <v>2062.6988000000001</v>
      </c>
      <c r="K479" s="416" t="s">
        <v>505</v>
      </c>
      <c r="L479" s="416" t="s">
        <v>505</v>
      </c>
      <c r="O479" s="392">
        <f t="shared" si="118"/>
        <v>0</v>
      </c>
      <c r="P479" s="392">
        <f t="shared" si="118"/>
        <v>0</v>
      </c>
      <c r="Q479" s="392">
        <f t="shared" si="118"/>
        <v>51567.47</v>
      </c>
      <c r="R479" s="392">
        <f t="shared" si="118"/>
        <v>0</v>
      </c>
      <c r="S479" s="392">
        <f t="shared" si="118"/>
        <v>0</v>
      </c>
      <c r="U479" s="392">
        <f t="shared" si="108"/>
        <v>0</v>
      </c>
      <c r="V479" s="392">
        <f t="shared" si="108"/>
        <v>0</v>
      </c>
      <c r="W479" s="392">
        <f t="shared" si="108"/>
        <v>4125.3999999999996</v>
      </c>
      <c r="X479" s="392">
        <f t="shared" si="108"/>
        <v>0</v>
      </c>
      <c r="Y479" s="392">
        <f t="shared" si="108"/>
        <v>0</v>
      </c>
      <c r="AA479" s="392">
        <f t="shared" si="109"/>
        <v>0</v>
      </c>
      <c r="AB479" s="392">
        <f t="shared" si="109"/>
        <v>0</v>
      </c>
      <c r="AC479" s="392">
        <f t="shared" si="109"/>
        <v>2062.6988000000001</v>
      </c>
      <c r="AD479" s="392">
        <f t="shared" si="109"/>
        <v>0</v>
      </c>
      <c r="AE479" s="392">
        <f t="shared" si="109"/>
        <v>0</v>
      </c>
      <c r="AG479" s="409">
        <f t="shared" si="117"/>
        <v>0</v>
      </c>
      <c r="AH479" s="409">
        <f t="shared" si="117"/>
        <v>0</v>
      </c>
      <c r="AI479" s="409">
        <f t="shared" si="117"/>
        <v>1</v>
      </c>
      <c r="AJ479" s="409">
        <f t="shared" si="117"/>
        <v>0</v>
      </c>
      <c r="AK479" s="409">
        <f t="shared" si="117"/>
        <v>0</v>
      </c>
      <c r="AN479" s="391">
        <v>51567.47</v>
      </c>
      <c r="AO479" s="423">
        <f t="shared" si="104"/>
        <v>0</v>
      </c>
    </row>
    <row r="480" spans="1:41">
      <c r="A480" s="416" t="s">
        <v>585</v>
      </c>
      <c r="B480" s="417">
        <v>41759</v>
      </c>
      <c r="C480" s="416" t="s">
        <v>1470</v>
      </c>
      <c r="D480" s="416" t="s">
        <v>1471</v>
      </c>
      <c r="E480" s="416" t="s">
        <v>547</v>
      </c>
      <c r="F480" s="416" t="s">
        <v>540</v>
      </c>
      <c r="G480" s="416">
        <v>30</v>
      </c>
      <c r="H480" s="392">
        <v>244556.72</v>
      </c>
      <c r="I480" s="392">
        <v>16303.78</v>
      </c>
      <c r="J480" s="392">
        <f t="shared" si="116"/>
        <v>8151.8906666666671</v>
      </c>
      <c r="K480" s="416" t="s">
        <v>505</v>
      </c>
      <c r="L480" s="416" t="s">
        <v>505</v>
      </c>
      <c r="O480" s="392">
        <f t="shared" si="118"/>
        <v>0</v>
      </c>
      <c r="P480" s="392">
        <f t="shared" si="118"/>
        <v>0</v>
      </c>
      <c r="Q480" s="392">
        <f t="shared" si="118"/>
        <v>244556.72</v>
      </c>
      <c r="R480" s="392">
        <f t="shared" si="118"/>
        <v>0</v>
      </c>
      <c r="S480" s="392">
        <f t="shared" si="118"/>
        <v>0</v>
      </c>
      <c r="U480" s="392">
        <f t="shared" si="108"/>
        <v>0</v>
      </c>
      <c r="V480" s="392">
        <f t="shared" si="108"/>
        <v>0</v>
      </c>
      <c r="W480" s="392">
        <f t="shared" si="108"/>
        <v>16303.78</v>
      </c>
      <c r="X480" s="392">
        <f t="shared" si="108"/>
        <v>0</v>
      </c>
      <c r="Y480" s="392">
        <f t="shared" si="108"/>
        <v>0</v>
      </c>
      <c r="AA480" s="392">
        <f t="shared" si="109"/>
        <v>0</v>
      </c>
      <c r="AB480" s="392">
        <f t="shared" si="109"/>
        <v>0</v>
      </c>
      <c r="AC480" s="392">
        <f t="shared" si="109"/>
        <v>8151.8906666666671</v>
      </c>
      <c r="AD480" s="392">
        <f t="shared" si="109"/>
        <v>0</v>
      </c>
      <c r="AE480" s="392">
        <f t="shared" si="109"/>
        <v>0</v>
      </c>
      <c r="AG480" s="409">
        <f t="shared" si="117"/>
        <v>0</v>
      </c>
      <c r="AH480" s="409">
        <f t="shared" si="117"/>
        <v>0</v>
      </c>
      <c r="AI480" s="409">
        <f t="shared" si="117"/>
        <v>1</v>
      </c>
      <c r="AJ480" s="409">
        <f t="shared" si="117"/>
        <v>0</v>
      </c>
      <c r="AK480" s="409">
        <f t="shared" si="117"/>
        <v>0</v>
      </c>
      <c r="AN480" s="391">
        <v>244556.72</v>
      </c>
      <c r="AO480" s="423">
        <f t="shared" si="104"/>
        <v>0</v>
      </c>
    </row>
    <row r="481" spans="1:41">
      <c r="A481" s="416" t="s">
        <v>572</v>
      </c>
      <c r="B481" s="417">
        <v>41759</v>
      </c>
      <c r="C481" s="416" t="s">
        <v>1472</v>
      </c>
      <c r="D481" s="416" t="s">
        <v>1473</v>
      </c>
      <c r="E481" s="416" t="s">
        <v>547</v>
      </c>
      <c r="F481" s="416" t="s">
        <v>540</v>
      </c>
      <c r="G481" s="416">
        <v>30</v>
      </c>
      <c r="H481" s="392">
        <v>351177.79</v>
      </c>
      <c r="I481" s="392">
        <v>23411.86</v>
      </c>
      <c r="J481" s="392">
        <f t="shared" si="116"/>
        <v>11705.926333333333</v>
      </c>
      <c r="K481" s="416" t="s">
        <v>505</v>
      </c>
      <c r="L481" s="416" t="s">
        <v>505</v>
      </c>
      <c r="O481" s="392">
        <f t="shared" si="118"/>
        <v>0</v>
      </c>
      <c r="P481" s="392">
        <f t="shared" si="118"/>
        <v>0</v>
      </c>
      <c r="Q481" s="392">
        <f t="shared" si="118"/>
        <v>351177.79</v>
      </c>
      <c r="R481" s="392">
        <f t="shared" si="118"/>
        <v>0</v>
      </c>
      <c r="S481" s="392">
        <f t="shared" si="118"/>
        <v>0</v>
      </c>
      <c r="U481" s="392">
        <f t="shared" si="108"/>
        <v>0</v>
      </c>
      <c r="V481" s="392">
        <f t="shared" si="108"/>
        <v>0</v>
      </c>
      <c r="W481" s="392">
        <f t="shared" si="108"/>
        <v>23411.86</v>
      </c>
      <c r="X481" s="392">
        <f t="shared" si="108"/>
        <v>0</v>
      </c>
      <c r="Y481" s="392">
        <f t="shared" si="108"/>
        <v>0</v>
      </c>
      <c r="AA481" s="392">
        <f t="shared" si="109"/>
        <v>0</v>
      </c>
      <c r="AB481" s="392">
        <f t="shared" si="109"/>
        <v>0</v>
      </c>
      <c r="AC481" s="392">
        <f t="shared" si="109"/>
        <v>11705.926333333333</v>
      </c>
      <c r="AD481" s="392">
        <f t="shared" si="109"/>
        <v>0</v>
      </c>
      <c r="AE481" s="392">
        <f t="shared" si="109"/>
        <v>0</v>
      </c>
      <c r="AG481" s="409">
        <f t="shared" si="117"/>
        <v>0</v>
      </c>
      <c r="AH481" s="409">
        <f t="shared" si="117"/>
        <v>0</v>
      </c>
      <c r="AI481" s="409">
        <f t="shared" si="117"/>
        <v>1</v>
      </c>
      <c r="AJ481" s="409">
        <f t="shared" si="117"/>
        <v>0</v>
      </c>
      <c r="AK481" s="409">
        <f t="shared" si="117"/>
        <v>0</v>
      </c>
      <c r="AN481" s="391">
        <v>351177.79</v>
      </c>
      <c r="AO481" s="423">
        <f t="shared" si="104"/>
        <v>0</v>
      </c>
    </row>
    <row r="482" spans="1:41">
      <c r="A482" s="416" t="s">
        <v>632</v>
      </c>
      <c r="B482" s="417">
        <v>41759</v>
      </c>
      <c r="C482" s="416" t="s">
        <v>1474</v>
      </c>
      <c r="D482" s="416" t="s">
        <v>1475</v>
      </c>
      <c r="E482" s="416" t="s">
        <v>547</v>
      </c>
      <c r="F482" s="416" t="s">
        <v>540</v>
      </c>
      <c r="G482" s="416">
        <v>5</v>
      </c>
      <c r="H482" s="392">
        <v>32620</v>
      </c>
      <c r="I482" s="392">
        <v>13048</v>
      </c>
      <c r="J482" s="392">
        <f t="shared" si="116"/>
        <v>6524</v>
      </c>
      <c r="K482" s="416" t="s">
        <v>515</v>
      </c>
      <c r="L482" s="416" t="s">
        <v>505</v>
      </c>
      <c r="O482" s="392">
        <f t="shared" si="118"/>
        <v>0</v>
      </c>
      <c r="P482" s="392">
        <f t="shared" si="118"/>
        <v>0</v>
      </c>
      <c r="Q482" s="392">
        <f t="shared" si="118"/>
        <v>0</v>
      </c>
      <c r="R482" s="392">
        <f t="shared" si="118"/>
        <v>32620</v>
      </c>
      <c r="S482" s="392">
        <f t="shared" si="118"/>
        <v>0</v>
      </c>
      <c r="U482" s="392">
        <f t="shared" si="108"/>
        <v>0</v>
      </c>
      <c r="V482" s="392">
        <f t="shared" si="108"/>
        <v>0</v>
      </c>
      <c r="W482" s="392">
        <f t="shared" si="108"/>
        <v>0</v>
      </c>
      <c r="X482" s="392">
        <f t="shared" si="108"/>
        <v>13048</v>
      </c>
      <c r="Y482" s="392">
        <f t="shared" si="108"/>
        <v>0</v>
      </c>
      <c r="AA482" s="392">
        <f t="shared" si="109"/>
        <v>0</v>
      </c>
      <c r="AB482" s="392">
        <f t="shared" si="109"/>
        <v>0</v>
      </c>
      <c r="AC482" s="392">
        <f t="shared" si="109"/>
        <v>0</v>
      </c>
      <c r="AD482" s="392">
        <f t="shared" si="109"/>
        <v>6524</v>
      </c>
      <c r="AE482" s="392">
        <f t="shared" si="109"/>
        <v>0</v>
      </c>
      <c r="AG482" s="409">
        <f t="shared" si="117"/>
        <v>0</v>
      </c>
      <c r="AH482" s="409">
        <f t="shared" si="117"/>
        <v>0</v>
      </c>
      <c r="AI482" s="409">
        <f t="shared" si="117"/>
        <v>0</v>
      </c>
      <c r="AJ482" s="409">
        <f t="shared" si="117"/>
        <v>1</v>
      </c>
      <c r="AK482" s="409">
        <f t="shared" si="117"/>
        <v>0</v>
      </c>
      <c r="AN482" s="391">
        <v>32620</v>
      </c>
      <c r="AO482" s="423">
        <f t="shared" si="104"/>
        <v>0</v>
      </c>
    </row>
    <row r="483" spans="1:41">
      <c r="A483" s="391" t="s">
        <v>585</v>
      </c>
      <c r="B483" s="417">
        <v>41759</v>
      </c>
      <c r="C483" s="416" t="s">
        <v>1476</v>
      </c>
      <c r="D483" s="416" t="s">
        <v>1477</v>
      </c>
      <c r="E483" s="416" t="s">
        <v>539</v>
      </c>
      <c r="F483" s="416" t="s">
        <v>540</v>
      </c>
      <c r="G483" s="391">
        <v>30</v>
      </c>
      <c r="H483" s="392">
        <v>106546.66</v>
      </c>
      <c r="I483" s="392">
        <v>7103.12</v>
      </c>
      <c r="J483" s="392">
        <f t="shared" si="116"/>
        <v>3551.5553333333332</v>
      </c>
      <c r="K483" s="416" t="s">
        <v>505</v>
      </c>
      <c r="L483" s="416" t="s">
        <v>505</v>
      </c>
      <c r="O483" s="392">
        <f t="shared" si="118"/>
        <v>0</v>
      </c>
      <c r="P483" s="392">
        <f t="shared" si="118"/>
        <v>0</v>
      </c>
      <c r="Q483" s="392">
        <f t="shared" si="118"/>
        <v>106546.66</v>
      </c>
      <c r="R483" s="392">
        <f t="shared" si="118"/>
        <v>0</v>
      </c>
      <c r="S483" s="392">
        <f t="shared" si="118"/>
        <v>0</v>
      </c>
      <c r="U483" s="392">
        <f t="shared" si="108"/>
        <v>0</v>
      </c>
      <c r="V483" s="392">
        <f t="shared" si="108"/>
        <v>0</v>
      </c>
      <c r="W483" s="392">
        <f t="shared" si="108"/>
        <v>7103.12</v>
      </c>
      <c r="X483" s="392">
        <f t="shared" si="108"/>
        <v>0</v>
      </c>
      <c r="Y483" s="392">
        <f t="shared" si="108"/>
        <v>0</v>
      </c>
      <c r="AA483" s="392">
        <f t="shared" si="109"/>
        <v>0</v>
      </c>
      <c r="AB483" s="392">
        <f t="shared" si="109"/>
        <v>0</v>
      </c>
      <c r="AC483" s="392">
        <f t="shared" si="109"/>
        <v>3551.5553333333332</v>
      </c>
      <c r="AD483" s="392">
        <f t="shared" si="109"/>
        <v>0</v>
      </c>
      <c r="AE483" s="392">
        <f t="shared" si="109"/>
        <v>0</v>
      </c>
      <c r="AG483" s="409">
        <f t="shared" si="117"/>
        <v>0</v>
      </c>
      <c r="AH483" s="409">
        <f t="shared" si="117"/>
        <v>0</v>
      </c>
      <c r="AI483" s="409">
        <f t="shared" si="117"/>
        <v>1</v>
      </c>
      <c r="AJ483" s="409">
        <f t="shared" si="117"/>
        <v>0</v>
      </c>
      <c r="AK483" s="409">
        <f t="shared" si="117"/>
        <v>0</v>
      </c>
      <c r="AN483" s="391">
        <v>106546.66</v>
      </c>
      <c r="AO483" s="423">
        <f t="shared" si="104"/>
        <v>0</v>
      </c>
    </row>
    <row r="484" spans="1:41">
      <c r="A484" s="391" t="s">
        <v>660</v>
      </c>
      <c r="B484" s="417">
        <v>41759</v>
      </c>
      <c r="C484" s="416" t="s">
        <v>1478</v>
      </c>
      <c r="D484" s="416" t="s">
        <v>1479</v>
      </c>
      <c r="E484" s="416" t="s">
        <v>539</v>
      </c>
      <c r="F484" s="416" t="s">
        <v>540</v>
      </c>
      <c r="G484" s="391">
        <v>30</v>
      </c>
      <c r="H484" s="392">
        <v>1144503.03</v>
      </c>
      <c r="I484" s="392">
        <v>76300.2</v>
      </c>
      <c r="J484" s="392">
        <f t="shared" si="116"/>
        <v>38150.101000000002</v>
      </c>
      <c r="K484" s="391" t="s">
        <v>45</v>
      </c>
      <c r="L484" s="391" t="s">
        <v>45</v>
      </c>
      <c r="O484" s="392">
        <f t="shared" si="118"/>
        <v>0</v>
      </c>
      <c r="P484" s="392">
        <f t="shared" si="118"/>
        <v>1144503.03</v>
      </c>
      <c r="Q484" s="392">
        <f t="shared" si="118"/>
        <v>0</v>
      </c>
      <c r="R484" s="392">
        <f t="shared" si="118"/>
        <v>0</v>
      </c>
      <c r="S484" s="392">
        <f t="shared" si="118"/>
        <v>0</v>
      </c>
      <c r="U484" s="392">
        <f t="shared" si="108"/>
        <v>0</v>
      </c>
      <c r="V484" s="392">
        <f t="shared" si="108"/>
        <v>76300.2</v>
      </c>
      <c r="W484" s="392">
        <f t="shared" si="108"/>
        <v>0</v>
      </c>
      <c r="X484" s="392">
        <f t="shared" si="108"/>
        <v>0</v>
      </c>
      <c r="Y484" s="392">
        <f t="shared" si="108"/>
        <v>0</v>
      </c>
      <c r="AA484" s="392">
        <f t="shared" si="109"/>
        <v>0</v>
      </c>
      <c r="AB484" s="392">
        <f t="shared" si="109"/>
        <v>38150.101000000002</v>
      </c>
      <c r="AC484" s="392">
        <f t="shared" si="109"/>
        <v>0</v>
      </c>
      <c r="AD484" s="392">
        <f t="shared" si="109"/>
        <v>0</v>
      </c>
      <c r="AE484" s="392">
        <f t="shared" si="109"/>
        <v>0</v>
      </c>
      <c r="AG484" s="409">
        <f t="shared" si="117"/>
        <v>0</v>
      </c>
      <c r="AH484" s="409">
        <f t="shared" si="117"/>
        <v>1</v>
      </c>
      <c r="AI484" s="409">
        <f t="shared" si="117"/>
        <v>0</v>
      </c>
      <c r="AJ484" s="409">
        <f t="shared" si="117"/>
        <v>0</v>
      </c>
      <c r="AK484" s="409">
        <f t="shared" si="117"/>
        <v>0</v>
      </c>
      <c r="AN484" s="391">
        <v>1144503.03</v>
      </c>
      <c r="AO484" s="423">
        <f t="shared" si="104"/>
        <v>0</v>
      </c>
    </row>
    <row r="485" spans="1:41">
      <c r="A485" s="416" t="s">
        <v>632</v>
      </c>
      <c r="B485" s="417">
        <v>41759</v>
      </c>
      <c r="C485" s="416" t="s">
        <v>1480</v>
      </c>
      <c r="D485" s="415" t="s">
        <v>1920</v>
      </c>
      <c r="E485" s="416" t="s">
        <v>539</v>
      </c>
      <c r="F485" s="416" t="s">
        <v>540</v>
      </c>
      <c r="G485" s="391">
        <v>5</v>
      </c>
      <c r="H485" s="392">
        <v>88970</v>
      </c>
      <c r="I485" s="392">
        <v>35588</v>
      </c>
      <c r="J485" s="392">
        <f t="shared" si="116"/>
        <v>17794</v>
      </c>
      <c r="K485" s="416" t="s">
        <v>515</v>
      </c>
      <c r="L485" s="416" t="s">
        <v>515</v>
      </c>
      <c r="O485" s="392">
        <f t="shared" si="118"/>
        <v>0</v>
      </c>
      <c r="P485" s="392">
        <f t="shared" si="118"/>
        <v>0</v>
      </c>
      <c r="Q485" s="392">
        <f t="shared" si="118"/>
        <v>0</v>
      </c>
      <c r="R485" s="392">
        <f t="shared" si="118"/>
        <v>88970</v>
      </c>
      <c r="S485" s="392">
        <f t="shared" si="118"/>
        <v>0</v>
      </c>
      <c r="U485" s="392">
        <f t="shared" si="108"/>
        <v>0</v>
      </c>
      <c r="V485" s="392">
        <f t="shared" si="108"/>
        <v>0</v>
      </c>
      <c r="W485" s="392">
        <f t="shared" si="108"/>
        <v>0</v>
      </c>
      <c r="X485" s="392">
        <f t="shared" si="108"/>
        <v>35588</v>
      </c>
      <c r="Y485" s="392">
        <f t="shared" si="108"/>
        <v>0</v>
      </c>
      <c r="AA485" s="392">
        <f t="shared" si="109"/>
        <v>0</v>
      </c>
      <c r="AB485" s="392">
        <f t="shared" si="109"/>
        <v>0</v>
      </c>
      <c r="AC485" s="392">
        <f t="shared" si="109"/>
        <v>0</v>
      </c>
      <c r="AD485" s="392">
        <f t="shared" si="109"/>
        <v>17794</v>
      </c>
      <c r="AE485" s="392">
        <f t="shared" si="109"/>
        <v>0</v>
      </c>
      <c r="AG485" s="409">
        <f t="shared" ref="AG485:AK500" si="119">IF($H485=0,0,O485/$H485)</f>
        <v>0</v>
      </c>
      <c r="AH485" s="409">
        <f t="shared" si="119"/>
        <v>0</v>
      </c>
      <c r="AI485" s="409">
        <f t="shared" si="119"/>
        <v>0</v>
      </c>
      <c r="AJ485" s="409">
        <f t="shared" si="119"/>
        <v>1</v>
      </c>
      <c r="AK485" s="409">
        <f t="shared" si="119"/>
        <v>0</v>
      </c>
      <c r="AN485" s="391">
        <v>88970</v>
      </c>
      <c r="AO485" s="423">
        <f t="shared" si="104"/>
        <v>0</v>
      </c>
    </row>
    <row r="486" spans="1:41">
      <c r="A486" s="391" t="s">
        <v>1481</v>
      </c>
      <c r="B486" s="417">
        <v>41759</v>
      </c>
      <c r="C486" s="416" t="s">
        <v>1482</v>
      </c>
      <c r="D486" s="415" t="s">
        <v>1483</v>
      </c>
      <c r="E486" s="416" t="s">
        <v>539</v>
      </c>
      <c r="F486" s="416" t="s">
        <v>540</v>
      </c>
      <c r="G486" s="391">
        <v>30</v>
      </c>
      <c r="H486" s="392">
        <v>26775000</v>
      </c>
      <c r="I486" s="392">
        <v>1785000</v>
      </c>
      <c r="J486" s="392">
        <f t="shared" si="116"/>
        <v>892500</v>
      </c>
      <c r="K486" s="416" t="s">
        <v>504</v>
      </c>
      <c r="L486" s="416" t="s">
        <v>504</v>
      </c>
      <c r="O486" s="392">
        <f t="shared" si="118"/>
        <v>26775000</v>
      </c>
      <c r="P486" s="392">
        <f t="shared" si="118"/>
        <v>0</v>
      </c>
      <c r="Q486" s="392">
        <f t="shared" si="118"/>
        <v>0</v>
      </c>
      <c r="R486" s="392">
        <f t="shared" si="118"/>
        <v>0</v>
      </c>
      <c r="S486" s="392">
        <f t="shared" si="118"/>
        <v>0</v>
      </c>
      <c r="U486" s="392">
        <f t="shared" ref="U486:Y501" si="120">$I486*AG486</f>
        <v>1785000</v>
      </c>
      <c r="V486" s="392">
        <f t="shared" si="120"/>
        <v>0</v>
      </c>
      <c r="W486" s="392">
        <f t="shared" si="120"/>
        <v>0</v>
      </c>
      <c r="X486" s="392">
        <f t="shared" si="120"/>
        <v>0</v>
      </c>
      <c r="Y486" s="392">
        <f t="shared" si="120"/>
        <v>0</v>
      </c>
      <c r="AA486" s="392">
        <f t="shared" ref="AA486:AE501" si="121">$J486*AG486</f>
        <v>892500</v>
      </c>
      <c r="AB486" s="392">
        <f t="shared" si="121"/>
        <v>0</v>
      </c>
      <c r="AC486" s="392">
        <f t="shared" si="121"/>
        <v>0</v>
      </c>
      <c r="AD486" s="392">
        <f t="shared" si="121"/>
        <v>0</v>
      </c>
      <c r="AE486" s="392">
        <f t="shared" si="121"/>
        <v>0</v>
      </c>
      <c r="AG486" s="409">
        <f t="shared" si="119"/>
        <v>1</v>
      </c>
      <c r="AH486" s="409">
        <f t="shared" si="119"/>
        <v>0</v>
      </c>
      <c r="AI486" s="409">
        <f t="shared" si="119"/>
        <v>0</v>
      </c>
      <c r="AJ486" s="409">
        <f t="shared" si="119"/>
        <v>0</v>
      </c>
      <c r="AK486" s="409">
        <f t="shared" si="119"/>
        <v>0</v>
      </c>
      <c r="AN486" s="391">
        <v>26775000</v>
      </c>
      <c r="AO486" s="423">
        <f t="shared" si="104"/>
        <v>0</v>
      </c>
    </row>
    <row r="487" spans="1:41">
      <c r="A487" s="391" t="s">
        <v>682</v>
      </c>
      <c r="B487" s="417">
        <v>41803</v>
      </c>
      <c r="C487" s="416" t="s">
        <v>1484</v>
      </c>
      <c r="D487" s="415" t="s">
        <v>1485</v>
      </c>
      <c r="E487" s="416" t="s">
        <v>539</v>
      </c>
      <c r="F487" s="416" t="s">
        <v>540</v>
      </c>
      <c r="G487" s="391">
        <v>5</v>
      </c>
      <c r="H487" s="392">
        <v>10884.2</v>
      </c>
      <c r="I487" s="392">
        <v>2176.84</v>
      </c>
      <c r="J487" s="392">
        <f t="shared" si="116"/>
        <v>2176.84</v>
      </c>
      <c r="K487" s="416" t="s">
        <v>515</v>
      </c>
      <c r="L487" s="416" t="s">
        <v>515</v>
      </c>
      <c r="O487" s="392">
        <f t="shared" si="118"/>
        <v>0</v>
      </c>
      <c r="P487" s="392">
        <f t="shared" si="118"/>
        <v>0</v>
      </c>
      <c r="Q487" s="392">
        <f t="shared" si="118"/>
        <v>0</v>
      </c>
      <c r="R487" s="392">
        <f t="shared" si="118"/>
        <v>10884.2</v>
      </c>
      <c r="S487" s="392">
        <f t="shared" si="118"/>
        <v>0</v>
      </c>
      <c r="U487" s="392">
        <f t="shared" si="120"/>
        <v>0</v>
      </c>
      <c r="V487" s="392">
        <f t="shared" si="120"/>
        <v>0</v>
      </c>
      <c r="W487" s="392">
        <f t="shared" si="120"/>
        <v>0</v>
      </c>
      <c r="X487" s="392">
        <f t="shared" si="120"/>
        <v>2176.84</v>
      </c>
      <c r="Y487" s="392">
        <f t="shared" si="120"/>
        <v>0</v>
      </c>
      <c r="AA487" s="392">
        <f t="shared" si="121"/>
        <v>0</v>
      </c>
      <c r="AB487" s="392">
        <f t="shared" si="121"/>
        <v>0</v>
      </c>
      <c r="AC487" s="392">
        <f t="shared" si="121"/>
        <v>0</v>
      </c>
      <c r="AD487" s="392">
        <f t="shared" si="121"/>
        <v>2176.84</v>
      </c>
      <c r="AE487" s="392">
        <f t="shared" si="121"/>
        <v>0</v>
      </c>
      <c r="AG487" s="409">
        <f t="shared" si="119"/>
        <v>0</v>
      </c>
      <c r="AH487" s="409">
        <f t="shared" si="119"/>
        <v>0</v>
      </c>
      <c r="AI487" s="409">
        <f t="shared" si="119"/>
        <v>0</v>
      </c>
      <c r="AJ487" s="409">
        <f t="shared" si="119"/>
        <v>1</v>
      </c>
      <c r="AK487" s="409">
        <f t="shared" si="119"/>
        <v>0</v>
      </c>
      <c r="AN487" s="391">
        <v>10884.2</v>
      </c>
      <c r="AO487" s="423">
        <f t="shared" si="104"/>
        <v>0</v>
      </c>
    </row>
    <row r="488" spans="1:41">
      <c r="A488" s="391" t="s">
        <v>632</v>
      </c>
      <c r="B488" s="417">
        <v>41817</v>
      </c>
      <c r="C488" s="416" t="s">
        <v>1486</v>
      </c>
      <c r="D488" s="415" t="s">
        <v>1487</v>
      </c>
      <c r="E488" s="416" t="s">
        <v>539</v>
      </c>
      <c r="F488" s="416" t="s">
        <v>540</v>
      </c>
      <c r="G488" s="391">
        <v>5</v>
      </c>
      <c r="H488" s="392">
        <v>8720</v>
      </c>
      <c r="I488" s="392">
        <v>1744</v>
      </c>
      <c r="J488" s="392">
        <f t="shared" si="116"/>
        <v>1744</v>
      </c>
      <c r="K488" s="416" t="s">
        <v>515</v>
      </c>
      <c r="L488" s="416" t="s">
        <v>515</v>
      </c>
      <c r="O488" s="392">
        <f t="shared" ref="O488:S497" si="122">IF(O$8=$K488,$H488,0)</f>
        <v>0</v>
      </c>
      <c r="P488" s="392">
        <f t="shared" si="122"/>
        <v>0</v>
      </c>
      <c r="Q488" s="392">
        <f t="shared" si="122"/>
        <v>0</v>
      </c>
      <c r="R488" s="392">
        <f t="shared" si="122"/>
        <v>8720</v>
      </c>
      <c r="S488" s="392">
        <f t="shared" si="122"/>
        <v>0</v>
      </c>
      <c r="U488" s="392">
        <f t="shared" si="120"/>
        <v>0</v>
      </c>
      <c r="V488" s="392">
        <f t="shared" si="120"/>
        <v>0</v>
      </c>
      <c r="W488" s="392">
        <f t="shared" si="120"/>
        <v>0</v>
      </c>
      <c r="X488" s="392">
        <f t="shared" si="120"/>
        <v>1744</v>
      </c>
      <c r="Y488" s="392">
        <f t="shared" si="120"/>
        <v>0</v>
      </c>
      <c r="AA488" s="392">
        <f t="shared" si="121"/>
        <v>0</v>
      </c>
      <c r="AB488" s="392">
        <f t="shared" si="121"/>
        <v>0</v>
      </c>
      <c r="AC488" s="392">
        <f t="shared" si="121"/>
        <v>0</v>
      </c>
      <c r="AD488" s="392">
        <f t="shared" si="121"/>
        <v>1744</v>
      </c>
      <c r="AE488" s="392">
        <f t="shared" si="121"/>
        <v>0</v>
      </c>
      <c r="AG488" s="409">
        <f t="shared" si="119"/>
        <v>0</v>
      </c>
      <c r="AH488" s="409">
        <f t="shared" si="119"/>
        <v>0</v>
      </c>
      <c r="AI488" s="409">
        <f t="shared" si="119"/>
        <v>0</v>
      </c>
      <c r="AJ488" s="409">
        <f t="shared" si="119"/>
        <v>1</v>
      </c>
      <c r="AK488" s="409">
        <f t="shared" si="119"/>
        <v>0</v>
      </c>
      <c r="AN488" s="391">
        <v>8720</v>
      </c>
      <c r="AO488" s="423">
        <f t="shared" si="104"/>
        <v>0</v>
      </c>
    </row>
    <row r="489" spans="1:41">
      <c r="A489" s="391" t="s">
        <v>632</v>
      </c>
      <c r="B489" s="417">
        <v>41817</v>
      </c>
      <c r="C489" s="416" t="s">
        <v>1488</v>
      </c>
      <c r="D489" s="415" t="s">
        <v>1489</v>
      </c>
      <c r="E489" s="416" t="s">
        <v>539</v>
      </c>
      <c r="F489" s="416" t="s">
        <v>540</v>
      </c>
      <c r="G489" s="391">
        <v>5</v>
      </c>
      <c r="H489" s="392">
        <v>15800</v>
      </c>
      <c r="I489" s="392">
        <v>3160</v>
      </c>
      <c r="J489" s="392">
        <f t="shared" si="116"/>
        <v>3160</v>
      </c>
      <c r="K489" s="416" t="s">
        <v>515</v>
      </c>
      <c r="L489" s="416" t="s">
        <v>515</v>
      </c>
      <c r="O489" s="392">
        <f t="shared" si="122"/>
        <v>0</v>
      </c>
      <c r="P489" s="392">
        <f t="shared" si="122"/>
        <v>0</v>
      </c>
      <c r="Q489" s="392">
        <f t="shared" si="122"/>
        <v>0</v>
      </c>
      <c r="R489" s="392">
        <f t="shared" si="122"/>
        <v>15800</v>
      </c>
      <c r="S489" s="392">
        <f t="shared" si="122"/>
        <v>0</v>
      </c>
      <c r="U489" s="392">
        <f t="shared" si="120"/>
        <v>0</v>
      </c>
      <c r="V489" s="392">
        <f t="shared" si="120"/>
        <v>0</v>
      </c>
      <c r="W489" s="392">
        <f t="shared" si="120"/>
        <v>0</v>
      </c>
      <c r="X489" s="392">
        <f t="shared" si="120"/>
        <v>3160</v>
      </c>
      <c r="Y489" s="392">
        <f t="shared" si="120"/>
        <v>0</v>
      </c>
      <c r="AA489" s="392">
        <f t="shared" si="121"/>
        <v>0</v>
      </c>
      <c r="AB489" s="392">
        <f t="shared" si="121"/>
        <v>0</v>
      </c>
      <c r="AC489" s="392">
        <f t="shared" si="121"/>
        <v>0</v>
      </c>
      <c r="AD489" s="392">
        <f t="shared" si="121"/>
        <v>3160</v>
      </c>
      <c r="AE489" s="392">
        <f t="shared" si="121"/>
        <v>0</v>
      </c>
      <c r="AG489" s="409">
        <f t="shared" si="119"/>
        <v>0</v>
      </c>
      <c r="AH489" s="409">
        <f t="shared" si="119"/>
        <v>0</v>
      </c>
      <c r="AI489" s="409">
        <f t="shared" si="119"/>
        <v>0</v>
      </c>
      <c r="AJ489" s="409">
        <f t="shared" si="119"/>
        <v>1</v>
      </c>
      <c r="AK489" s="409">
        <f t="shared" si="119"/>
        <v>0</v>
      </c>
      <c r="AN489" s="391">
        <v>15800</v>
      </c>
      <c r="AO489" s="423">
        <f t="shared" si="104"/>
        <v>0</v>
      </c>
    </row>
    <row r="490" spans="1:41">
      <c r="A490" s="391" t="s">
        <v>646</v>
      </c>
      <c r="B490" s="417">
        <v>41845</v>
      </c>
      <c r="C490" s="416" t="s">
        <v>1490</v>
      </c>
      <c r="D490" s="415" t="s">
        <v>1491</v>
      </c>
      <c r="E490" s="416" t="s">
        <v>539</v>
      </c>
      <c r="F490" s="416" t="s">
        <v>540</v>
      </c>
      <c r="G490" s="391">
        <v>5</v>
      </c>
      <c r="H490" s="392">
        <v>93379</v>
      </c>
      <c r="I490" s="392">
        <v>18675.8</v>
      </c>
      <c r="J490" s="392">
        <f t="shared" si="116"/>
        <v>18675.8</v>
      </c>
      <c r="K490" s="416" t="s">
        <v>515</v>
      </c>
      <c r="L490" s="416" t="s">
        <v>515</v>
      </c>
      <c r="O490" s="392">
        <f t="shared" si="122"/>
        <v>0</v>
      </c>
      <c r="P490" s="392">
        <f t="shared" si="122"/>
        <v>0</v>
      </c>
      <c r="Q490" s="392">
        <f t="shared" si="122"/>
        <v>0</v>
      </c>
      <c r="R490" s="392">
        <f t="shared" si="122"/>
        <v>93379</v>
      </c>
      <c r="S490" s="392">
        <f t="shared" si="122"/>
        <v>0</v>
      </c>
      <c r="U490" s="392">
        <f t="shared" si="120"/>
        <v>0</v>
      </c>
      <c r="V490" s="392">
        <f t="shared" si="120"/>
        <v>0</v>
      </c>
      <c r="W490" s="392">
        <f t="shared" si="120"/>
        <v>0</v>
      </c>
      <c r="X490" s="392">
        <f t="shared" si="120"/>
        <v>18675.8</v>
      </c>
      <c r="Y490" s="392">
        <f t="shared" si="120"/>
        <v>0</v>
      </c>
      <c r="AA490" s="392">
        <f t="shared" si="121"/>
        <v>0</v>
      </c>
      <c r="AB490" s="392">
        <f t="shared" si="121"/>
        <v>0</v>
      </c>
      <c r="AC490" s="392">
        <f t="shared" si="121"/>
        <v>0</v>
      </c>
      <c r="AD490" s="392">
        <f t="shared" si="121"/>
        <v>18675.8</v>
      </c>
      <c r="AE490" s="392">
        <f t="shared" si="121"/>
        <v>0</v>
      </c>
      <c r="AG490" s="409">
        <f t="shared" si="119"/>
        <v>0</v>
      </c>
      <c r="AH490" s="409">
        <f t="shared" si="119"/>
        <v>0</v>
      </c>
      <c r="AI490" s="409">
        <f t="shared" si="119"/>
        <v>0</v>
      </c>
      <c r="AJ490" s="409">
        <f t="shared" si="119"/>
        <v>1</v>
      </c>
      <c r="AK490" s="409">
        <f t="shared" si="119"/>
        <v>0</v>
      </c>
      <c r="AN490" s="391">
        <v>93379</v>
      </c>
      <c r="AO490" s="423">
        <f t="shared" ref="AO490:AO504" si="123">H490-AN490</f>
        <v>0</v>
      </c>
    </row>
    <row r="491" spans="1:41">
      <c r="A491" s="391" t="s">
        <v>1148</v>
      </c>
      <c r="B491" s="417">
        <v>41859</v>
      </c>
      <c r="C491" s="416" t="s">
        <v>1492</v>
      </c>
      <c r="D491" s="416" t="s">
        <v>1493</v>
      </c>
      <c r="E491" s="416" t="s">
        <v>539</v>
      </c>
      <c r="F491" s="416" t="s">
        <v>540</v>
      </c>
      <c r="G491" s="391">
        <v>5</v>
      </c>
      <c r="H491" s="392">
        <v>24324.5</v>
      </c>
      <c r="I491" s="392">
        <v>4864.8999999999996</v>
      </c>
      <c r="J491" s="392">
        <f t="shared" si="116"/>
        <v>4864.8999999999996</v>
      </c>
      <c r="K491" s="416" t="s">
        <v>515</v>
      </c>
      <c r="L491" s="416" t="s">
        <v>515</v>
      </c>
      <c r="O491" s="392">
        <f t="shared" si="122"/>
        <v>0</v>
      </c>
      <c r="P491" s="392">
        <f t="shared" si="122"/>
        <v>0</v>
      </c>
      <c r="Q491" s="392">
        <f t="shared" si="122"/>
        <v>0</v>
      </c>
      <c r="R491" s="392">
        <f t="shared" si="122"/>
        <v>24324.5</v>
      </c>
      <c r="S491" s="392">
        <f t="shared" si="122"/>
        <v>0</v>
      </c>
      <c r="U491" s="392">
        <f t="shared" si="120"/>
        <v>0</v>
      </c>
      <c r="V491" s="392">
        <f t="shared" si="120"/>
        <v>0</v>
      </c>
      <c r="W491" s="392">
        <f t="shared" si="120"/>
        <v>0</v>
      </c>
      <c r="X491" s="392">
        <f t="shared" si="120"/>
        <v>4864.8999999999996</v>
      </c>
      <c r="Y491" s="392">
        <f t="shared" si="120"/>
        <v>0</v>
      </c>
      <c r="AA491" s="392">
        <f t="shared" si="121"/>
        <v>0</v>
      </c>
      <c r="AB491" s="392">
        <f t="shared" si="121"/>
        <v>0</v>
      </c>
      <c r="AC491" s="392">
        <f t="shared" si="121"/>
        <v>0</v>
      </c>
      <c r="AD491" s="392">
        <f t="shared" si="121"/>
        <v>4864.8999999999996</v>
      </c>
      <c r="AE491" s="392">
        <f t="shared" si="121"/>
        <v>0</v>
      </c>
      <c r="AG491" s="409">
        <f t="shared" si="119"/>
        <v>0</v>
      </c>
      <c r="AH491" s="409">
        <f t="shared" si="119"/>
        <v>0</v>
      </c>
      <c r="AI491" s="409">
        <f t="shared" si="119"/>
        <v>0</v>
      </c>
      <c r="AJ491" s="409">
        <f t="shared" si="119"/>
        <v>1</v>
      </c>
      <c r="AK491" s="409">
        <f t="shared" si="119"/>
        <v>0</v>
      </c>
      <c r="AN491" s="391">
        <v>24324.5</v>
      </c>
      <c r="AO491" s="423">
        <f t="shared" si="123"/>
        <v>0</v>
      </c>
    </row>
    <row r="492" spans="1:41">
      <c r="A492" s="391" t="s">
        <v>646</v>
      </c>
      <c r="B492" s="417">
        <v>41901</v>
      </c>
      <c r="C492" s="416" t="s">
        <v>1494</v>
      </c>
      <c r="D492" s="416" t="s">
        <v>1495</v>
      </c>
      <c r="E492" s="416" t="s">
        <v>539</v>
      </c>
      <c r="F492" s="416" t="s">
        <v>540</v>
      </c>
      <c r="G492" s="391">
        <v>5</v>
      </c>
      <c r="H492" s="392">
        <v>26714.5</v>
      </c>
      <c r="I492" s="392">
        <v>5342.9</v>
      </c>
      <c r="J492" s="392">
        <f t="shared" si="116"/>
        <v>5342.9</v>
      </c>
      <c r="K492" s="416" t="s">
        <v>515</v>
      </c>
      <c r="L492" s="416" t="s">
        <v>515</v>
      </c>
      <c r="O492" s="392">
        <f t="shared" si="122"/>
        <v>0</v>
      </c>
      <c r="P492" s="392">
        <f t="shared" si="122"/>
        <v>0</v>
      </c>
      <c r="Q492" s="392">
        <f t="shared" si="122"/>
        <v>0</v>
      </c>
      <c r="R492" s="392">
        <f t="shared" si="122"/>
        <v>26714.5</v>
      </c>
      <c r="S492" s="392">
        <f t="shared" si="122"/>
        <v>0</v>
      </c>
      <c r="U492" s="392">
        <f t="shared" si="120"/>
        <v>0</v>
      </c>
      <c r="V492" s="392">
        <f t="shared" si="120"/>
        <v>0</v>
      </c>
      <c r="W492" s="392">
        <f t="shared" si="120"/>
        <v>0</v>
      </c>
      <c r="X492" s="392">
        <f t="shared" si="120"/>
        <v>5342.9</v>
      </c>
      <c r="Y492" s="392">
        <f t="shared" si="120"/>
        <v>0</v>
      </c>
      <c r="AA492" s="392">
        <f t="shared" si="121"/>
        <v>0</v>
      </c>
      <c r="AB492" s="392">
        <f t="shared" si="121"/>
        <v>0</v>
      </c>
      <c r="AC492" s="392">
        <f t="shared" si="121"/>
        <v>0</v>
      </c>
      <c r="AD492" s="392">
        <f t="shared" si="121"/>
        <v>5342.9</v>
      </c>
      <c r="AE492" s="392">
        <f t="shared" si="121"/>
        <v>0</v>
      </c>
      <c r="AG492" s="409">
        <f t="shared" si="119"/>
        <v>0</v>
      </c>
      <c r="AH492" s="409">
        <f t="shared" si="119"/>
        <v>0</v>
      </c>
      <c r="AI492" s="409">
        <f t="shared" si="119"/>
        <v>0</v>
      </c>
      <c r="AJ492" s="409">
        <f t="shared" si="119"/>
        <v>1</v>
      </c>
      <c r="AK492" s="409">
        <f t="shared" si="119"/>
        <v>0</v>
      </c>
      <c r="AN492" s="391">
        <v>26714.5</v>
      </c>
      <c r="AO492" s="423">
        <f t="shared" si="123"/>
        <v>0</v>
      </c>
    </row>
    <row r="493" spans="1:41">
      <c r="A493" s="391" t="s">
        <v>632</v>
      </c>
      <c r="B493" s="417">
        <v>41915</v>
      </c>
      <c r="C493" s="416" t="s">
        <v>1496</v>
      </c>
      <c r="D493" s="416" t="s">
        <v>1497</v>
      </c>
      <c r="E493" s="416" t="s">
        <v>539</v>
      </c>
      <c r="F493" s="416" t="s">
        <v>540</v>
      </c>
      <c r="G493" s="391">
        <v>5</v>
      </c>
      <c r="H493" s="392">
        <v>5970</v>
      </c>
      <c r="I493" s="392">
        <v>1194</v>
      </c>
      <c r="J493" s="392">
        <f t="shared" si="116"/>
        <v>1194</v>
      </c>
      <c r="K493" s="416" t="s">
        <v>515</v>
      </c>
      <c r="L493" s="416" t="s">
        <v>515</v>
      </c>
      <c r="O493" s="392">
        <f t="shared" si="122"/>
        <v>0</v>
      </c>
      <c r="P493" s="392">
        <f t="shared" si="122"/>
        <v>0</v>
      </c>
      <c r="Q493" s="392">
        <f t="shared" si="122"/>
        <v>0</v>
      </c>
      <c r="R493" s="392">
        <f t="shared" si="122"/>
        <v>5970</v>
      </c>
      <c r="S493" s="392">
        <f t="shared" si="122"/>
        <v>0</v>
      </c>
      <c r="U493" s="392">
        <f t="shared" si="120"/>
        <v>0</v>
      </c>
      <c r="V493" s="392">
        <f t="shared" si="120"/>
        <v>0</v>
      </c>
      <c r="W493" s="392">
        <f t="shared" si="120"/>
        <v>0</v>
      </c>
      <c r="X493" s="392">
        <f t="shared" si="120"/>
        <v>1194</v>
      </c>
      <c r="Y493" s="392">
        <f t="shared" si="120"/>
        <v>0</v>
      </c>
      <c r="AA493" s="392">
        <f t="shared" si="121"/>
        <v>0</v>
      </c>
      <c r="AB493" s="392">
        <f t="shared" si="121"/>
        <v>0</v>
      </c>
      <c r="AC493" s="392">
        <f t="shared" si="121"/>
        <v>0</v>
      </c>
      <c r="AD493" s="392">
        <f t="shared" si="121"/>
        <v>1194</v>
      </c>
      <c r="AE493" s="392">
        <f t="shared" si="121"/>
        <v>0</v>
      </c>
      <c r="AG493" s="409">
        <f t="shared" si="119"/>
        <v>0</v>
      </c>
      <c r="AH493" s="409">
        <f t="shared" si="119"/>
        <v>0</v>
      </c>
      <c r="AI493" s="409">
        <f t="shared" si="119"/>
        <v>0</v>
      </c>
      <c r="AJ493" s="409">
        <f t="shared" si="119"/>
        <v>1</v>
      </c>
      <c r="AK493" s="409">
        <f t="shared" si="119"/>
        <v>0</v>
      </c>
      <c r="AN493" s="391">
        <v>5970</v>
      </c>
      <c r="AO493" s="423">
        <f t="shared" si="123"/>
        <v>0</v>
      </c>
    </row>
    <row r="494" spans="1:41">
      <c r="A494" s="391" t="s">
        <v>646</v>
      </c>
      <c r="B494" s="417">
        <v>41943</v>
      </c>
      <c r="C494" s="416" t="s">
        <v>1498</v>
      </c>
      <c r="D494" s="416" t="s">
        <v>1499</v>
      </c>
      <c r="E494" s="416" t="s">
        <v>539</v>
      </c>
      <c r="F494" s="416" t="s">
        <v>540</v>
      </c>
      <c r="G494" s="547">
        <v>1</v>
      </c>
      <c r="H494" s="392">
        <v>167998</v>
      </c>
      <c r="I494" s="392">
        <v>167998</v>
      </c>
      <c r="J494" s="548">
        <v>0</v>
      </c>
      <c r="K494" s="416" t="s">
        <v>515</v>
      </c>
      <c r="L494" s="416" t="s">
        <v>515</v>
      </c>
      <c r="O494" s="392">
        <f t="shared" si="122"/>
        <v>0</v>
      </c>
      <c r="P494" s="392">
        <f t="shared" si="122"/>
        <v>0</v>
      </c>
      <c r="Q494" s="392">
        <f t="shared" si="122"/>
        <v>0</v>
      </c>
      <c r="R494" s="392">
        <f t="shared" si="122"/>
        <v>167998</v>
      </c>
      <c r="S494" s="392">
        <f t="shared" si="122"/>
        <v>0</v>
      </c>
      <c r="U494" s="392">
        <f t="shared" si="120"/>
        <v>0</v>
      </c>
      <c r="V494" s="392">
        <f t="shared" si="120"/>
        <v>0</v>
      </c>
      <c r="W494" s="392">
        <f t="shared" si="120"/>
        <v>0</v>
      </c>
      <c r="X494" s="392">
        <f t="shared" si="120"/>
        <v>167998</v>
      </c>
      <c r="Y494" s="392">
        <f t="shared" si="120"/>
        <v>0</v>
      </c>
      <c r="AA494" s="392">
        <f t="shared" si="121"/>
        <v>0</v>
      </c>
      <c r="AB494" s="392">
        <f t="shared" si="121"/>
        <v>0</v>
      </c>
      <c r="AC494" s="392">
        <f t="shared" si="121"/>
        <v>0</v>
      </c>
      <c r="AD494" s="392">
        <f t="shared" si="121"/>
        <v>0</v>
      </c>
      <c r="AE494" s="392">
        <f t="shared" si="121"/>
        <v>0</v>
      </c>
      <c r="AG494" s="409">
        <f t="shared" si="119"/>
        <v>0</v>
      </c>
      <c r="AH494" s="409">
        <f t="shared" si="119"/>
        <v>0</v>
      </c>
      <c r="AI494" s="409">
        <f t="shared" si="119"/>
        <v>0</v>
      </c>
      <c r="AJ494" s="409">
        <f t="shared" si="119"/>
        <v>1</v>
      </c>
      <c r="AK494" s="409">
        <f t="shared" si="119"/>
        <v>0</v>
      </c>
      <c r="AN494" s="391">
        <v>167998</v>
      </c>
      <c r="AO494" s="423">
        <f t="shared" si="123"/>
        <v>0</v>
      </c>
    </row>
    <row r="495" spans="1:41">
      <c r="A495" s="391" t="s">
        <v>632</v>
      </c>
      <c r="B495" s="417">
        <v>41985</v>
      </c>
      <c r="C495" s="416" t="s">
        <v>1500</v>
      </c>
      <c r="D495" s="416" t="s">
        <v>1501</v>
      </c>
      <c r="E495" s="416" t="s">
        <v>539</v>
      </c>
      <c r="F495" s="416" t="s">
        <v>540</v>
      </c>
      <c r="G495" s="391">
        <v>5</v>
      </c>
      <c r="H495" s="392">
        <v>9250</v>
      </c>
      <c r="I495" s="392">
        <v>1850</v>
      </c>
      <c r="J495" s="392">
        <f t="shared" si="116"/>
        <v>1850</v>
      </c>
      <c r="K495" s="416" t="s">
        <v>515</v>
      </c>
      <c r="L495" s="416" t="s">
        <v>515</v>
      </c>
      <c r="O495" s="392">
        <f t="shared" si="122"/>
        <v>0</v>
      </c>
      <c r="P495" s="392">
        <f t="shared" si="122"/>
        <v>0</v>
      </c>
      <c r="Q495" s="392">
        <f t="shared" si="122"/>
        <v>0</v>
      </c>
      <c r="R495" s="392">
        <f t="shared" si="122"/>
        <v>9250</v>
      </c>
      <c r="S495" s="392">
        <f t="shared" si="122"/>
        <v>0</v>
      </c>
      <c r="U495" s="392">
        <f t="shared" si="120"/>
        <v>0</v>
      </c>
      <c r="V495" s="392">
        <f t="shared" si="120"/>
        <v>0</v>
      </c>
      <c r="W495" s="392">
        <f t="shared" si="120"/>
        <v>0</v>
      </c>
      <c r="X495" s="392">
        <f t="shared" si="120"/>
        <v>1850</v>
      </c>
      <c r="Y495" s="392">
        <f t="shared" si="120"/>
        <v>0</v>
      </c>
      <c r="AA495" s="392">
        <f t="shared" si="121"/>
        <v>0</v>
      </c>
      <c r="AB495" s="392">
        <f t="shared" si="121"/>
        <v>0</v>
      </c>
      <c r="AC495" s="392">
        <f t="shared" si="121"/>
        <v>0</v>
      </c>
      <c r="AD495" s="392">
        <f t="shared" si="121"/>
        <v>1850</v>
      </c>
      <c r="AE495" s="392">
        <f t="shared" si="121"/>
        <v>0</v>
      </c>
      <c r="AG495" s="409">
        <f t="shared" si="119"/>
        <v>0</v>
      </c>
      <c r="AH495" s="409">
        <f t="shared" si="119"/>
        <v>0</v>
      </c>
      <c r="AI495" s="409">
        <f t="shared" si="119"/>
        <v>0</v>
      </c>
      <c r="AJ495" s="409">
        <f t="shared" si="119"/>
        <v>1</v>
      </c>
      <c r="AK495" s="409">
        <f t="shared" si="119"/>
        <v>0</v>
      </c>
      <c r="AN495" s="391">
        <v>9250</v>
      </c>
      <c r="AO495" s="423">
        <f t="shared" si="123"/>
        <v>0</v>
      </c>
    </row>
    <row r="496" spans="1:41">
      <c r="A496" s="391" t="s">
        <v>632</v>
      </c>
      <c r="B496" s="417">
        <v>41985</v>
      </c>
      <c r="C496" s="416" t="s">
        <v>1502</v>
      </c>
      <c r="D496" s="416" t="s">
        <v>1503</v>
      </c>
      <c r="E496" s="416" t="s">
        <v>539</v>
      </c>
      <c r="F496" s="416" t="s">
        <v>540</v>
      </c>
      <c r="G496" s="391">
        <v>10</v>
      </c>
      <c r="H496" s="392">
        <v>114884.95</v>
      </c>
      <c r="I496" s="392">
        <v>11488.5</v>
      </c>
      <c r="J496" s="392">
        <f t="shared" si="116"/>
        <v>11488.494999999999</v>
      </c>
      <c r="K496" s="416" t="s">
        <v>515</v>
      </c>
      <c r="L496" s="416" t="s">
        <v>515</v>
      </c>
      <c r="O496" s="392">
        <f t="shared" si="122"/>
        <v>0</v>
      </c>
      <c r="P496" s="392">
        <f t="shared" si="122"/>
        <v>0</v>
      </c>
      <c r="Q496" s="392">
        <f t="shared" si="122"/>
        <v>0</v>
      </c>
      <c r="R496" s="392">
        <f t="shared" si="122"/>
        <v>114884.95</v>
      </c>
      <c r="S496" s="392">
        <f t="shared" si="122"/>
        <v>0</v>
      </c>
      <c r="U496" s="392">
        <f t="shared" si="120"/>
        <v>0</v>
      </c>
      <c r="V496" s="392">
        <f t="shared" si="120"/>
        <v>0</v>
      </c>
      <c r="W496" s="392">
        <f t="shared" si="120"/>
        <v>0</v>
      </c>
      <c r="X496" s="392">
        <f t="shared" si="120"/>
        <v>11488.5</v>
      </c>
      <c r="Y496" s="392">
        <f t="shared" si="120"/>
        <v>0</v>
      </c>
      <c r="AA496" s="392">
        <f t="shared" si="121"/>
        <v>0</v>
      </c>
      <c r="AB496" s="392">
        <f t="shared" si="121"/>
        <v>0</v>
      </c>
      <c r="AC496" s="392">
        <f t="shared" si="121"/>
        <v>0</v>
      </c>
      <c r="AD496" s="392">
        <f t="shared" si="121"/>
        <v>11488.494999999999</v>
      </c>
      <c r="AE496" s="392">
        <f t="shared" si="121"/>
        <v>0</v>
      </c>
      <c r="AG496" s="409">
        <f t="shared" si="119"/>
        <v>0</v>
      </c>
      <c r="AH496" s="409">
        <f t="shared" si="119"/>
        <v>0</v>
      </c>
      <c r="AI496" s="409">
        <f t="shared" si="119"/>
        <v>0</v>
      </c>
      <c r="AJ496" s="409">
        <f t="shared" si="119"/>
        <v>1</v>
      </c>
      <c r="AK496" s="409">
        <f t="shared" si="119"/>
        <v>0</v>
      </c>
      <c r="AN496" s="391">
        <v>114884.95</v>
      </c>
      <c r="AO496" s="423">
        <f t="shared" si="123"/>
        <v>0</v>
      </c>
    </row>
    <row r="497" spans="1:41">
      <c r="A497" s="391" t="s">
        <v>632</v>
      </c>
      <c r="B497" s="417">
        <v>42111</v>
      </c>
      <c r="C497" s="416" t="s">
        <v>1504</v>
      </c>
      <c r="D497" s="416" t="s">
        <v>1505</v>
      </c>
      <c r="E497" s="416" t="s">
        <v>539</v>
      </c>
      <c r="F497" s="416" t="s">
        <v>540</v>
      </c>
      <c r="G497" s="391">
        <v>5</v>
      </c>
      <c r="H497" s="392">
        <v>0</v>
      </c>
      <c r="I497" s="392">
        <v>0</v>
      </c>
      <c r="J497" s="392">
        <f t="shared" si="116"/>
        <v>0</v>
      </c>
      <c r="K497" s="416" t="s">
        <v>515</v>
      </c>
      <c r="L497" s="416" t="s">
        <v>515</v>
      </c>
      <c r="O497" s="392">
        <f t="shared" si="122"/>
        <v>0</v>
      </c>
      <c r="P497" s="392">
        <f t="shared" si="122"/>
        <v>0</v>
      </c>
      <c r="Q497" s="392">
        <f t="shared" si="122"/>
        <v>0</v>
      </c>
      <c r="R497" s="392">
        <f t="shared" si="122"/>
        <v>0</v>
      </c>
      <c r="S497" s="392">
        <f t="shared" si="122"/>
        <v>0</v>
      </c>
      <c r="U497" s="392">
        <f t="shared" si="120"/>
        <v>0</v>
      </c>
      <c r="V497" s="392">
        <f t="shared" si="120"/>
        <v>0</v>
      </c>
      <c r="W497" s="392">
        <f t="shared" si="120"/>
        <v>0</v>
      </c>
      <c r="X497" s="392">
        <f t="shared" si="120"/>
        <v>0</v>
      </c>
      <c r="Y497" s="392">
        <f t="shared" si="120"/>
        <v>0</v>
      </c>
      <c r="AA497" s="392">
        <f t="shared" si="121"/>
        <v>0</v>
      </c>
      <c r="AB497" s="392">
        <f t="shared" si="121"/>
        <v>0</v>
      </c>
      <c r="AC497" s="392">
        <f t="shared" si="121"/>
        <v>0</v>
      </c>
      <c r="AD497" s="392">
        <f t="shared" si="121"/>
        <v>0</v>
      </c>
      <c r="AE497" s="392">
        <f t="shared" si="121"/>
        <v>0</v>
      </c>
      <c r="AG497" s="409">
        <f t="shared" si="119"/>
        <v>0</v>
      </c>
      <c r="AH497" s="409">
        <f t="shared" si="119"/>
        <v>0</v>
      </c>
      <c r="AI497" s="409">
        <f t="shared" si="119"/>
        <v>0</v>
      </c>
      <c r="AJ497" s="409">
        <f t="shared" si="119"/>
        <v>0</v>
      </c>
      <c r="AK497" s="409">
        <f t="shared" si="119"/>
        <v>0</v>
      </c>
      <c r="AN497" s="391">
        <v>0</v>
      </c>
      <c r="AO497" s="423">
        <f t="shared" si="123"/>
        <v>0</v>
      </c>
    </row>
    <row r="498" spans="1:41">
      <c r="A498" s="391" t="s">
        <v>567</v>
      </c>
      <c r="B498" s="417">
        <v>42124</v>
      </c>
      <c r="C498" s="416" t="s">
        <v>1506</v>
      </c>
      <c r="D498" s="416" t="s">
        <v>1507</v>
      </c>
      <c r="E498" s="416" t="s">
        <v>539</v>
      </c>
      <c r="F498" s="416" t="s">
        <v>540</v>
      </c>
      <c r="G498" s="391">
        <v>30</v>
      </c>
      <c r="H498" s="392">
        <v>201425.45</v>
      </c>
      <c r="I498" s="392">
        <v>6714.18</v>
      </c>
      <c r="J498" s="392">
        <f t="shared" si="116"/>
        <v>6714.1816666666673</v>
      </c>
      <c r="K498" s="416" t="s">
        <v>505</v>
      </c>
      <c r="L498" s="416" t="s">
        <v>505</v>
      </c>
      <c r="O498" s="392">
        <f t="shared" ref="O498:S512" si="124">IF(O$8=$K498,$H498,0)</f>
        <v>0</v>
      </c>
      <c r="P498" s="392">
        <f t="shared" si="124"/>
        <v>0</v>
      </c>
      <c r="Q498" s="392">
        <f t="shared" si="124"/>
        <v>201425.45</v>
      </c>
      <c r="R498" s="392">
        <f t="shared" si="124"/>
        <v>0</v>
      </c>
      <c r="S498" s="392">
        <f t="shared" si="124"/>
        <v>0</v>
      </c>
      <c r="U498" s="392">
        <f t="shared" si="120"/>
        <v>0</v>
      </c>
      <c r="V498" s="392">
        <f t="shared" si="120"/>
        <v>0</v>
      </c>
      <c r="W498" s="392">
        <f t="shared" si="120"/>
        <v>6714.18</v>
      </c>
      <c r="X498" s="392">
        <f t="shared" si="120"/>
        <v>0</v>
      </c>
      <c r="Y498" s="392">
        <f t="shared" si="120"/>
        <v>0</v>
      </c>
      <c r="AA498" s="392">
        <f t="shared" si="121"/>
        <v>0</v>
      </c>
      <c r="AB498" s="392">
        <f t="shared" si="121"/>
        <v>0</v>
      </c>
      <c r="AC498" s="392">
        <f t="shared" si="121"/>
        <v>6714.1816666666673</v>
      </c>
      <c r="AD498" s="392">
        <f t="shared" si="121"/>
        <v>0</v>
      </c>
      <c r="AE498" s="392">
        <f t="shared" si="121"/>
        <v>0</v>
      </c>
      <c r="AG498" s="409">
        <f t="shared" si="119"/>
        <v>0</v>
      </c>
      <c r="AH498" s="409">
        <f t="shared" si="119"/>
        <v>0</v>
      </c>
      <c r="AI498" s="409">
        <f t="shared" si="119"/>
        <v>1</v>
      </c>
      <c r="AJ498" s="409">
        <f t="shared" si="119"/>
        <v>0</v>
      </c>
      <c r="AK498" s="409">
        <f t="shared" si="119"/>
        <v>0</v>
      </c>
      <c r="AN498" s="391">
        <v>201425.45</v>
      </c>
      <c r="AO498" s="423">
        <f t="shared" si="123"/>
        <v>0</v>
      </c>
    </row>
    <row r="499" spans="1:41">
      <c r="A499" s="391" t="s">
        <v>616</v>
      </c>
      <c r="B499" s="417">
        <v>42124</v>
      </c>
      <c r="C499" s="416" t="s">
        <v>1508</v>
      </c>
      <c r="D499" s="416" t="s">
        <v>1509</v>
      </c>
      <c r="E499" s="416" t="s">
        <v>539</v>
      </c>
      <c r="F499" s="416" t="s">
        <v>540</v>
      </c>
      <c r="G499" s="391">
        <v>25</v>
      </c>
      <c r="H499" s="392">
        <v>75036.42</v>
      </c>
      <c r="I499" s="392">
        <v>3001.46</v>
      </c>
      <c r="J499" s="392">
        <f t="shared" si="116"/>
        <v>3001.4567999999999</v>
      </c>
      <c r="K499" s="416" t="s">
        <v>505</v>
      </c>
      <c r="L499" s="416" t="s">
        <v>505</v>
      </c>
      <c r="O499" s="392">
        <f t="shared" si="124"/>
        <v>0</v>
      </c>
      <c r="P499" s="392">
        <f t="shared" si="124"/>
        <v>0</v>
      </c>
      <c r="Q499" s="392">
        <f t="shared" si="124"/>
        <v>75036.42</v>
      </c>
      <c r="R499" s="392">
        <f t="shared" si="124"/>
        <v>0</v>
      </c>
      <c r="S499" s="392">
        <f t="shared" si="124"/>
        <v>0</v>
      </c>
      <c r="U499" s="392">
        <f t="shared" si="120"/>
        <v>0</v>
      </c>
      <c r="V499" s="392">
        <f t="shared" si="120"/>
        <v>0</v>
      </c>
      <c r="W499" s="392">
        <f t="shared" si="120"/>
        <v>3001.46</v>
      </c>
      <c r="X499" s="392">
        <f t="shared" si="120"/>
        <v>0</v>
      </c>
      <c r="Y499" s="392">
        <f t="shared" si="120"/>
        <v>0</v>
      </c>
      <c r="AA499" s="392">
        <f t="shared" si="121"/>
        <v>0</v>
      </c>
      <c r="AB499" s="392">
        <f t="shared" si="121"/>
        <v>0</v>
      </c>
      <c r="AC499" s="392">
        <f t="shared" si="121"/>
        <v>3001.4567999999999</v>
      </c>
      <c r="AD499" s="392">
        <f t="shared" si="121"/>
        <v>0</v>
      </c>
      <c r="AE499" s="392">
        <f t="shared" si="121"/>
        <v>0</v>
      </c>
      <c r="AG499" s="409">
        <f t="shared" si="119"/>
        <v>0</v>
      </c>
      <c r="AH499" s="409">
        <f t="shared" si="119"/>
        <v>0</v>
      </c>
      <c r="AI499" s="409">
        <f t="shared" si="119"/>
        <v>1</v>
      </c>
      <c r="AJ499" s="409">
        <f t="shared" si="119"/>
        <v>0</v>
      </c>
      <c r="AK499" s="409">
        <f t="shared" si="119"/>
        <v>0</v>
      </c>
      <c r="AN499" s="391">
        <v>75036.42</v>
      </c>
      <c r="AO499" s="423">
        <f t="shared" si="123"/>
        <v>0</v>
      </c>
    </row>
    <row r="500" spans="1:41">
      <c r="A500" s="391" t="s">
        <v>585</v>
      </c>
      <c r="B500" s="417">
        <v>42124</v>
      </c>
      <c r="C500" s="416" t="s">
        <v>1510</v>
      </c>
      <c r="D500" s="416" t="s">
        <v>1511</v>
      </c>
      <c r="E500" s="416" t="s">
        <v>539</v>
      </c>
      <c r="F500" s="416" t="s">
        <v>540</v>
      </c>
      <c r="G500" s="391">
        <v>30</v>
      </c>
      <c r="H500" s="392">
        <v>369377.19</v>
      </c>
      <c r="I500" s="392">
        <v>12312.57</v>
      </c>
      <c r="J500" s="392">
        <f t="shared" si="116"/>
        <v>12312.573</v>
      </c>
      <c r="K500" s="416" t="s">
        <v>505</v>
      </c>
      <c r="L500" s="416" t="s">
        <v>505</v>
      </c>
      <c r="O500" s="392">
        <f t="shared" si="124"/>
        <v>0</v>
      </c>
      <c r="P500" s="392">
        <f t="shared" si="124"/>
        <v>0</v>
      </c>
      <c r="Q500" s="392">
        <f t="shared" si="124"/>
        <v>369377.19</v>
      </c>
      <c r="R500" s="392">
        <f t="shared" si="124"/>
        <v>0</v>
      </c>
      <c r="S500" s="392">
        <f t="shared" si="124"/>
        <v>0</v>
      </c>
      <c r="U500" s="392">
        <f t="shared" si="120"/>
        <v>0</v>
      </c>
      <c r="V500" s="392">
        <f t="shared" si="120"/>
        <v>0</v>
      </c>
      <c r="W500" s="392">
        <f t="shared" si="120"/>
        <v>12312.57</v>
      </c>
      <c r="X500" s="392">
        <f t="shared" si="120"/>
        <v>0</v>
      </c>
      <c r="Y500" s="392">
        <f t="shared" si="120"/>
        <v>0</v>
      </c>
      <c r="AA500" s="392">
        <f t="shared" si="121"/>
        <v>0</v>
      </c>
      <c r="AB500" s="392">
        <f t="shared" si="121"/>
        <v>0</v>
      </c>
      <c r="AC500" s="392">
        <f t="shared" si="121"/>
        <v>12312.573</v>
      </c>
      <c r="AD500" s="392">
        <f t="shared" si="121"/>
        <v>0</v>
      </c>
      <c r="AE500" s="392">
        <f t="shared" si="121"/>
        <v>0</v>
      </c>
      <c r="AG500" s="409">
        <f t="shared" si="119"/>
        <v>0</v>
      </c>
      <c r="AH500" s="409">
        <f t="shared" si="119"/>
        <v>0</v>
      </c>
      <c r="AI500" s="409">
        <f t="shared" si="119"/>
        <v>1</v>
      </c>
      <c r="AJ500" s="409">
        <f t="shared" si="119"/>
        <v>0</v>
      </c>
      <c r="AK500" s="409">
        <f t="shared" si="119"/>
        <v>0</v>
      </c>
      <c r="AN500" s="391">
        <v>369377.19</v>
      </c>
      <c r="AO500" s="423">
        <f t="shared" si="123"/>
        <v>0</v>
      </c>
    </row>
    <row r="501" spans="1:41">
      <c r="A501" s="391" t="s">
        <v>572</v>
      </c>
      <c r="B501" s="417">
        <v>42124</v>
      </c>
      <c r="C501" s="416" t="s">
        <v>1512</v>
      </c>
      <c r="D501" s="416" t="s">
        <v>1513</v>
      </c>
      <c r="E501" s="416" t="s">
        <v>539</v>
      </c>
      <c r="F501" s="416" t="s">
        <v>540</v>
      </c>
      <c r="G501" s="391">
        <v>30</v>
      </c>
      <c r="H501" s="392">
        <v>482998.07</v>
      </c>
      <c r="I501" s="392">
        <v>16099.94</v>
      </c>
      <c r="J501" s="392">
        <f t="shared" si="116"/>
        <v>16099.935666666666</v>
      </c>
      <c r="K501" s="416" t="s">
        <v>505</v>
      </c>
      <c r="L501" s="416" t="s">
        <v>505</v>
      </c>
      <c r="O501" s="392">
        <f t="shared" si="124"/>
        <v>0</v>
      </c>
      <c r="P501" s="392">
        <f t="shared" si="124"/>
        <v>0</v>
      </c>
      <c r="Q501" s="392">
        <f t="shared" si="124"/>
        <v>482998.07</v>
      </c>
      <c r="R501" s="392">
        <f t="shared" si="124"/>
        <v>0</v>
      </c>
      <c r="S501" s="392">
        <f t="shared" si="124"/>
        <v>0</v>
      </c>
      <c r="U501" s="392">
        <f t="shared" si="120"/>
        <v>0</v>
      </c>
      <c r="V501" s="392">
        <f t="shared" si="120"/>
        <v>0</v>
      </c>
      <c r="W501" s="392">
        <f t="shared" si="120"/>
        <v>16099.94</v>
      </c>
      <c r="X501" s="392">
        <f t="shared" si="120"/>
        <v>0</v>
      </c>
      <c r="Y501" s="392">
        <f t="shared" si="120"/>
        <v>0</v>
      </c>
      <c r="AA501" s="392">
        <f t="shared" si="121"/>
        <v>0</v>
      </c>
      <c r="AB501" s="392">
        <f t="shared" si="121"/>
        <v>0</v>
      </c>
      <c r="AC501" s="392">
        <f t="shared" si="121"/>
        <v>16099.935666666666</v>
      </c>
      <c r="AD501" s="392">
        <f t="shared" si="121"/>
        <v>0</v>
      </c>
      <c r="AE501" s="392">
        <f t="shared" si="121"/>
        <v>0</v>
      </c>
      <c r="AG501" s="409">
        <f t="shared" ref="AG501:AK504" si="125">IF($H501=0,0,O501/$H501)</f>
        <v>0</v>
      </c>
      <c r="AH501" s="409">
        <f t="shared" si="125"/>
        <v>0</v>
      </c>
      <c r="AI501" s="409">
        <f t="shared" si="125"/>
        <v>1</v>
      </c>
      <c r="AJ501" s="409">
        <f t="shared" si="125"/>
        <v>0</v>
      </c>
      <c r="AK501" s="409">
        <f t="shared" si="125"/>
        <v>0</v>
      </c>
      <c r="AN501" s="391">
        <v>482998.07</v>
      </c>
      <c r="AO501" s="423">
        <f t="shared" si="123"/>
        <v>0</v>
      </c>
    </row>
    <row r="502" spans="1:41">
      <c r="A502" s="391" t="s">
        <v>632</v>
      </c>
      <c r="B502" s="417">
        <v>42124</v>
      </c>
      <c r="C502" s="416" t="s">
        <v>1514</v>
      </c>
      <c r="D502" s="416" t="s">
        <v>1515</v>
      </c>
      <c r="E502" s="416" t="s">
        <v>539</v>
      </c>
      <c r="F502" s="416" t="s">
        <v>540</v>
      </c>
      <c r="G502" s="391">
        <v>5</v>
      </c>
      <c r="H502" s="392">
        <v>12448.75</v>
      </c>
      <c r="I502" s="392">
        <v>2489.75</v>
      </c>
      <c r="J502" s="392">
        <f t="shared" si="116"/>
        <v>2489.75</v>
      </c>
      <c r="K502" s="416" t="s">
        <v>515</v>
      </c>
      <c r="L502" s="416" t="s">
        <v>515</v>
      </c>
      <c r="O502" s="392">
        <f t="shared" si="124"/>
        <v>0</v>
      </c>
      <c r="P502" s="392">
        <f t="shared" si="124"/>
        <v>0</v>
      </c>
      <c r="Q502" s="392">
        <f t="shared" si="124"/>
        <v>0</v>
      </c>
      <c r="R502" s="392">
        <f t="shared" si="124"/>
        <v>12448.75</v>
      </c>
      <c r="S502" s="392">
        <f t="shared" si="124"/>
        <v>0</v>
      </c>
      <c r="U502" s="392">
        <f t="shared" ref="U502:Y504" si="126">$I502*AG502</f>
        <v>0</v>
      </c>
      <c r="V502" s="392">
        <f t="shared" si="126"/>
        <v>0</v>
      </c>
      <c r="W502" s="392">
        <f t="shared" si="126"/>
        <v>0</v>
      </c>
      <c r="X502" s="392">
        <f t="shared" si="126"/>
        <v>2489.75</v>
      </c>
      <c r="Y502" s="392">
        <f t="shared" si="126"/>
        <v>0</v>
      </c>
      <c r="AA502" s="392">
        <f t="shared" ref="AA502:AE504" si="127">$J502*AG502</f>
        <v>0</v>
      </c>
      <c r="AB502" s="392">
        <f t="shared" si="127"/>
        <v>0</v>
      </c>
      <c r="AC502" s="392">
        <f t="shared" si="127"/>
        <v>0</v>
      </c>
      <c r="AD502" s="392">
        <f t="shared" si="127"/>
        <v>2489.75</v>
      </c>
      <c r="AE502" s="392">
        <f t="shared" si="127"/>
        <v>0</v>
      </c>
      <c r="AG502" s="409">
        <f t="shared" si="125"/>
        <v>0</v>
      </c>
      <c r="AH502" s="409">
        <f t="shared" si="125"/>
        <v>0</v>
      </c>
      <c r="AI502" s="409">
        <f t="shared" si="125"/>
        <v>0</v>
      </c>
      <c r="AJ502" s="409">
        <f t="shared" si="125"/>
        <v>1</v>
      </c>
      <c r="AK502" s="409">
        <f t="shared" si="125"/>
        <v>0</v>
      </c>
      <c r="AN502" s="391">
        <v>12448.75</v>
      </c>
      <c r="AO502" s="423">
        <f t="shared" si="123"/>
        <v>0</v>
      </c>
    </row>
    <row r="503" spans="1:41">
      <c r="A503" s="391" t="s">
        <v>585</v>
      </c>
      <c r="B503" s="417">
        <v>42124</v>
      </c>
      <c r="C503" s="416" t="s">
        <v>1510</v>
      </c>
      <c r="D503" s="416" t="s">
        <v>1908</v>
      </c>
      <c r="E503" s="416" t="s">
        <v>539</v>
      </c>
      <c r="F503" s="416" t="s">
        <v>540</v>
      </c>
      <c r="G503" s="391">
        <v>30</v>
      </c>
      <c r="H503" s="392">
        <v>342033.7</v>
      </c>
      <c r="I503" s="392">
        <v>11401.12</v>
      </c>
      <c r="J503" s="392">
        <f t="shared" si="116"/>
        <v>11401.123333333333</v>
      </c>
      <c r="K503" s="416" t="s">
        <v>505</v>
      </c>
      <c r="L503" s="416" t="s">
        <v>505</v>
      </c>
      <c r="M503" s="391" t="s">
        <v>1516</v>
      </c>
      <c r="O503" s="392">
        <f t="shared" si="124"/>
        <v>0</v>
      </c>
      <c r="P503" s="392">
        <f t="shared" si="124"/>
        <v>0</v>
      </c>
      <c r="Q503" s="392">
        <f t="shared" si="124"/>
        <v>342033.7</v>
      </c>
      <c r="R503" s="392">
        <f t="shared" si="124"/>
        <v>0</v>
      </c>
      <c r="S503" s="392">
        <f t="shared" si="124"/>
        <v>0</v>
      </c>
      <c r="U503" s="392">
        <f t="shared" si="126"/>
        <v>0</v>
      </c>
      <c r="V503" s="392">
        <f t="shared" si="126"/>
        <v>0</v>
      </c>
      <c r="W503" s="392">
        <f t="shared" si="126"/>
        <v>11401.12</v>
      </c>
      <c r="X503" s="392">
        <f t="shared" si="126"/>
        <v>0</v>
      </c>
      <c r="Y503" s="392">
        <f t="shared" si="126"/>
        <v>0</v>
      </c>
      <c r="AA503" s="392">
        <f t="shared" si="127"/>
        <v>0</v>
      </c>
      <c r="AB503" s="392">
        <f t="shared" si="127"/>
        <v>0</v>
      </c>
      <c r="AC503" s="392">
        <f t="shared" si="127"/>
        <v>11401.123333333333</v>
      </c>
      <c r="AD503" s="392">
        <f t="shared" si="127"/>
        <v>0</v>
      </c>
      <c r="AE503" s="392">
        <f t="shared" si="127"/>
        <v>0</v>
      </c>
      <c r="AG503" s="409">
        <f t="shared" si="125"/>
        <v>0</v>
      </c>
      <c r="AH503" s="409">
        <f t="shared" si="125"/>
        <v>0</v>
      </c>
      <c r="AI503" s="409">
        <f t="shared" si="125"/>
        <v>1</v>
      </c>
      <c r="AJ503" s="409">
        <f t="shared" si="125"/>
        <v>0</v>
      </c>
      <c r="AK503" s="409">
        <f t="shared" si="125"/>
        <v>0</v>
      </c>
      <c r="AN503" s="391">
        <v>342033.7</v>
      </c>
      <c r="AO503" s="423">
        <f t="shared" si="123"/>
        <v>0</v>
      </c>
    </row>
    <row r="504" spans="1:41">
      <c r="A504" s="391" t="s">
        <v>660</v>
      </c>
      <c r="B504" s="417">
        <v>42124</v>
      </c>
      <c r="C504" s="416" t="s">
        <v>1907</v>
      </c>
      <c r="D504" s="416" t="s">
        <v>1909</v>
      </c>
      <c r="E504" s="416" t="s">
        <v>539</v>
      </c>
      <c r="F504" s="416" t="s">
        <v>540</v>
      </c>
      <c r="G504" s="416">
        <v>30</v>
      </c>
      <c r="H504" s="392">
        <f>497514.25</f>
        <v>497514.25</v>
      </c>
      <c r="I504" s="392">
        <v>16583.810000000001</v>
      </c>
      <c r="J504" s="392">
        <f t="shared" si="116"/>
        <v>16583.808333333334</v>
      </c>
      <c r="K504" s="416" t="s">
        <v>45</v>
      </c>
      <c r="L504" s="416" t="s">
        <v>45</v>
      </c>
      <c r="M504" s="391" t="s">
        <v>1517</v>
      </c>
      <c r="O504" s="392">
        <f t="shared" si="124"/>
        <v>0</v>
      </c>
      <c r="P504" s="392">
        <f t="shared" si="124"/>
        <v>497514.25</v>
      </c>
      <c r="Q504" s="392">
        <f t="shared" si="124"/>
        <v>0</v>
      </c>
      <c r="R504" s="392">
        <f t="shared" si="124"/>
        <v>0</v>
      </c>
      <c r="S504" s="392">
        <f t="shared" si="124"/>
        <v>0</v>
      </c>
      <c r="U504" s="392">
        <f t="shared" si="126"/>
        <v>0</v>
      </c>
      <c r="V504" s="392">
        <f t="shared" si="126"/>
        <v>16583.810000000001</v>
      </c>
      <c r="W504" s="392">
        <f t="shared" si="126"/>
        <v>0</v>
      </c>
      <c r="X504" s="392">
        <f t="shared" si="126"/>
        <v>0</v>
      </c>
      <c r="Y504" s="392">
        <f t="shared" si="126"/>
        <v>0</v>
      </c>
      <c r="AA504" s="392">
        <f t="shared" si="127"/>
        <v>0</v>
      </c>
      <c r="AB504" s="392">
        <f t="shared" si="127"/>
        <v>16583.808333333334</v>
      </c>
      <c r="AC504" s="392">
        <f t="shared" si="127"/>
        <v>0</v>
      </c>
      <c r="AD504" s="392">
        <f t="shared" si="127"/>
        <v>0</v>
      </c>
      <c r="AE504" s="392">
        <f t="shared" si="127"/>
        <v>0</v>
      </c>
      <c r="AG504" s="409">
        <f t="shared" si="125"/>
        <v>0</v>
      </c>
      <c r="AH504" s="409">
        <f t="shared" si="125"/>
        <v>1</v>
      </c>
      <c r="AI504" s="409">
        <f t="shared" si="125"/>
        <v>0</v>
      </c>
      <c r="AJ504" s="409">
        <f t="shared" si="125"/>
        <v>0</v>
      </c>
      <c r="AK504" s="409">
        <f t="shared" si="125"/>
        <v>0</v>
      </c>
      <c r="AN504" s="391">
        <v>497514.25</v>
      </c>
      <c r="AO504" s="423">
        <f t="shared" si="123"/>
        <v>0</v>
      </c>
    </row>
    <row r="505" spans="1:41">
      <c r="A505" s="391" t="s">
        <v>646</v>
      </c>
      <c r="B505" s="417">
        <v>42209</v>
      </c>
      <c r="C505" s="416" t="s">
        <v>1898</v>
      </c>
      <c r="D505" s="416" t="s">
        <v>1910</v>
      </c>
      <c r="E505" s="416" t="s">
        <v>547</v>
      </c>
      <c r="F505" s="416"/>
      <c r="G505" s="416">
        <v>5</v>
      </c>
      <c r="H505" s="392">
        <v>33043.5</v>
      </c>
      <c r="I505" s="392">
        <v>0</v>
      </c>
      <c r="J505" s="392">
        <f t="shared" si="116"/>
        <v>6608.7</v>
      </c>
      <c r="K505" s="416" t="s">
        <v>515</v>
      </c>
      <c r="L505" s="416"/>
      <c r="O505" s="392">
        <f t="shared" si="124"/>
        <v>0</v>
      </c>
      <c r="P505" s="392">
        <f t="shared" si="124"/>
        <v>0</v>
      </c>
      <c r="Q505" s="392">
        <f t="shared" si="124"/>
        <v>0</v>
      </c>
      <c r="R505" s="392">
        <f t="shared" si="124"/>
        <v>33043.5</v>
      </c>
      <c r="S505" s="392">
        <f t="shared" si="124"/>
        <v>0</v>
      </c>
      <c r="U505" s="392">
        <f t="shared" ref="U505:U517" si="128">$I505*AG505</f>
        <v>0</v>
      </c>
      <c r="V505" s="392">
        <f t="shared" ref="V505:V517" si="129">$I505*AH505</f>
        <v>0</v>
      </c>
      <c r="W505" s="392">
        <f t="shared" ref="W505:W517" si="130">$I505*AI505</f>
        <v>0</v>
      </c>
      <c r="X505" s="392">
        <f t="shared" ref="X505:X517" si="131">$I505*AJ505</f>
        <v>0</v>
      </c>
      <c r="Y505" s="392">
        <f t="shared" ref="Y505:Y517" si="132">$I505*AK505</f>
        <v>0</v>
      </c>
      <c r="AA505" s="392">
        <f t="shared" ref="AA505:AA517" si="133">$J505*AG505</f>
        <v>0</v>
      </c>
      <c r="AB505" s="392">
        <f t="shared" ref="AB505:AB517" si="134">$J505*AH505</f>
        <v>0</v>
      </c>
      <c r="AC505" s="392">
        <f t="shared" ref="AC505:AC517" si="135">$J505*AI505</f>
        <v>0</v>
      </c>
      <c r="AD505" s="392">
        <f t="shared" ref="AD505:AD517" si="136">$J505*AJ505</f>
        <v>6608.7</v>
      </c>
      <c r="AE505" s="392">
        <f t="shared" ref="AE505:AE517" si="137">$J505*AK505</f>
        <v>0</v>
      </c>
      <c r="AG505" s="409">
        <f t="shared" ref="AG505:AG517" si="138">IF($H505=0,0,O505/$H505)</f>
        <v>0</v>
      </c>
      <c r="AH505" s="409">
        <f t="shared" ref="AH505:AH517" si="139">IF($H505=0,0,P505/$H505)</f>
        <v>0</v>
      </c>
      <c r="AI505" s="409">
        <f t="shared" ref="AI505:AI517" si="140">IF($H505=0,0,Q505/$H505)</f>
        <v>0</v>
      </c>
      <c r="AJ505" s="409">
        <f t="shared" ref="AJ505:AJ517" si="141">IF($H505=0,0,R505/$H505)</f>
        <v>1</v>
      </c>
      <c r="AK505" s="409">
        <f t="shared" ref="AK505:AK517" si="142">IF($H505=0,0,S505/$H505)</f>
        <v>0</v>
      </c>
      <c r="AO505" s="423"/>
    </row>
    <row r="506" spans="1:41">
      <c r="A506" s="391" t="s">
        <v>646</v>
      </c>
      <c r="B506" s="417">
        <v>42265</v>
      </c>
      <c r="C506" s="416" t="s">
        <v>1899</v>
      </c>
      <c r="D506" s="416" t="s">
        <v>1911</v>
      </c>
      <c r="E506" s="416" t="s">
        <v>547</v>
      </c>
      <c r="F506" s="416"/>
      <c r="G506" s="416">
        <v>5</v>
      </c>
      <c r="H506" s="392">
        <v>30112.5</v>
      </c>
      <c r="I506" s="392">
        <v>0</v>
      </c>
      <c r="J506" s="392">
        <f t="shared" si="116"/>
        <v>6022.5</v>
      </c>
      <c r="K506" s="416" t="s">
        <v>515</v>
      </c>
      <c r="L506" s="416"/>
      <c r="O506" s="392">
        <f t="shared" si="124"/>
        <v>0</v>
      </c>
      <c r="P506" s="392">
        <f t="shared" si="124"/>
        <v>0</v>
      </c>
      <c r="Q506" s="392">
        <f t="shared" si="124"/>
        <v>0</v>
      </c>
      <c r="R506" s="392">
        <f t="shared" si="124"/>
        <v>30112.5</v>
      </c>
      <c r="S506" s="392">
        <f t="shared" si="124"/>
        <v>0</v>
      </c>
      <c r="U506" s="392">
        <f t="shared" si="128"/>
        <v>0</v>
      </c>
      <c r="V506" s="392">
        <f t="shared" si="129"/>
        <v>0</v>
      </c>
      <c r="W506" s="392">
        <f t="shared" si="130"/>
        <v>0</v>
      </c>
      <c r="X506" s="392">
        <f t="shared" si="131"/>
        <v>0</v>
      </c>
      <c r="Y506" s="392">
        <f t="shared" si="132"/>
        <v>0</v>
      </c>
      <c r="AA506" s="392">
        <f t="shared" si="133"/>
        <v>0</v>
      </c>
      <c r="AB506" s="392">
        <f t="shared" si="134"/>
        <v>0</v>
      </c>
      <c r="AC506" s="392">
        <f t="shared" si="135"/>
        <v>0</v>
      </c>
      <c r="AD506" s="392">
        <f t="shared" si="136"/>
        <v>6022.5</v>
      </c>
      <c r="AE506" s="392">
        <f t="shared" si="137"/>
        <v>0</v>
      </c>
      <c r="AG506" s="409">
        <f t="shared" si="138"/>
        <v>0</v>
      </c>
      <c r="AH506" s="409">
        <f t="shared" si="139"/>
        <v>0</v>
      </c>
      <c r="AI506" s="409">
        <f t="shared" si="140"/>
        <v>0</v>
      </c>
      <c r="AJ506" s="409">
        <f t="shared" si="141"/>
        <v>1</v>
      </c>
      <c r="AK506" s="409">
        <f t="shared" si="142"/>
        <v>0</v>
      </c>
      <c r="AO506" s="423"/>
    </row>
    <row r="507" spans="1:41">
      <c r="A507" s="391" t="s">
        <v>646</v>
      </c>
      <c r="B507" s="417">
        <v>42307</v>
      </c>
      <c r="C507" s="416" t="s">
        <v>1899</v>
      </c>
      <c r="D507" s="416" t="s">
        <v>1912</v>
      </c>
      <c r="E507" s="416" t="s">
        <v>547</v>
      </c>
      <c r="F507" s="416"/>
      <c r="G507" s="416">
        <v>5</v>
      </c>
      <c r="H507" s="392">
        <v>40990.5</v>
      </c>
      <c r="I507" s="392">
        <v>0</v>
      </c>
      <c r="J507" s="392">
        <f t="shared" si="116"/>
        <v>8198.1</v>
      </c>
      <c r="K507" s="416" t="s">
        <v>515</v>
      </c>
      <c r="L507" s="416"/>
      <c r="O507" s="392">
        <f t="shared" si="124"/>
        <v>0</v>
      </c>
      <c r="P507" s="392">
        <f t="shared" si="124"/>
        <v>0</v>
      </c>
      <c r="Q507" s="392">
        <f t="shared" si="124"/>
        <v>0</v>
      </c>
      <c r="R507" s="392">
        <f t="shared" si="124"/>
        <v>40990.5</v>
      </c>
      <c r="S507" s="392">
        <f t="shared" si="124"/>
        <v>0</v>
      </c>
      <c r="U507" s="392">
        <f t="shared" si="128"/>
        <v>0</v>
      </c>
      <c r="V507" s="392">
        <f t="shared" si="129"/>
        <v>0</v>
      </c>
      <c r="W507" s="392">
        <f t="shared" si="130"/>
        <v>0</v>
      </c>
      <c r="X507" s="392">
        <f t="shared" si="131"/>
        <v>0</v>
      </c>
      <c r="Y507" s="392">
        <f t="shared" si="132"/>
        <v>0</v>
      </c>
      <c r="AA507" s="392">
        <f t="shared" si="133"/>
        <v>0</v>
      </c>
      <c r="AB507" s="392">
        <f t="shared" si="134"/>
        <v>0</v>
      </c>
      <c r="AC507" s="392">
        <f t="shared" si="135"/>
        <v>0</v>
      </c>
      <c r="AD507" s="392">
        <f t="shared" si="136"/>
        <v>8198.1</v>
      </c>
      <c r="AE507" s="392">
        <f t="shared" si="137"/>
        <v>0</v>
      </c>
      <c r="AG507" s="409">
        <f t="shared" si="138"/>
        <v>0</v>
      </c>
      <c r="AH507" s="409">
        <f t="shared" si="139"/>
        <v>0</v>
      </c>
      <c r="AI507" s="409">
        <f t="shared" si="140"/>
        <v>0</v>
      </c>
      <c r="AJ507" s="409">
        <f t="shared" si="141"/>
        <v>1</v>
      </c>
      <c r="AK507" s="409">
        <f t="shared" si="142"/>
        <v>0</v>
      </c>
      <c r="AO507" s="423"/>
    </row>
    <row r="508" spans="1:41">
      <c r="A508" s="391" t="s">
        <v>646</v>
      </c>
      <c r="B508" s="417">
        <v>42361</v>
      </c>
      <c r="C508" s="416" t="s">
        <v>1900</v>
      </c>
      <c r="D508" s="416" t="s">
        <v>1913</v>
      </c>
      <c r="E508" s="416" t="s">
        <v>547</v>
      </c>
      <c r="F508" s="416"/>
      <c r="G508" s="416">
        <v>10</v>
      </c>
      <c r="H508" s="392">
        <v>182225.45</v>
      </c>
      <c r="I508" s="392">
        <v>0</v>
      </c>
      <c r="J508" s="392">
        <f t="shared" si="116"/>
        <v>18222.545000000002</v>
      </c>
      <c r="K508" s="416" t="s">
        <v>515</v>
      </c>
      <c r="L508" s="416"/>
      <c r="O508" s="392">
        <f t="shared" si="124"/>
        <v>0</v>
      </c>
      <c r="P508" s="392">
        <f t="shared" si="124"/>
        <v>0</v>
      </c>
      <c r="Q508" s="392">
        <f t="shared" si="124"/>
        <v>0</v>
      </c>
      <c r="R508" s="392">
        <f t="shared" si="124"/>
        <v>182225.45</v>
      </c>
      <c r="S508" s="392">
        <f t="shared" si="124"/>
        <v>0</v>
      </c>
      <c r="U508" s="392">
        <f t="shared" si="128"/>
        <v>0</v>
      </c>
      <c r="V508" s="392">
        <f t="shared" si="129"/>
        <v>0</v>
      </c>
      <c r="W508" s="392">
        <f t="shared" si="130"/>
        <v>0</v>
      </c>
      <c r="X508" s="392">
        <f t="shared" si="131"/>
        <v>0</v>
      </c>
      <c r="Y508" s="392">
        <f t="shared" si="132"/>
        <v>0</v>
      </c>
      <c r="AA508" s="392">
        <f t="shared" si="133"/>
        <v>0</v>
      </c>
      <c r="AB508" s="392">
        <f t="shared" si="134"/>
        <v>0</v>
      </c>
      <c r="AC508" s="392">
        <f t="shared" si="135"/>
        <v>0</v>
      </c>
      <c r="AD508" s="392">
        <f t="shared" si="136"/>
        <v>18222.545000000002</v>
      </c>
      <c r="AE508" s="392">
        <f t="shared" si="137"/>
        <v>0</v>
      </c>
      <c r="AG508" s="409">
        <f t="shared" si="138"/>
        <v>0</v>
      </c>
      <c r="AH508" s="409">
        <f t="shared" si="139"/>
        <v>0</v>
      </c>
      <c r="AI508" s="409">
        <f t="shared" si="140"/>
        <v>0</v>
      </c>
      <c r="AJ508" s="409">
        <f t="shared" si="141"/>
        <v>1</v>
      </c>
      <c r="AK508" s="409">
        <f t="shared" si="142"/>
        <v>0</v>
      </c>
      <c r="AO508" s="423"/>
    </row>
    <row r="509" spans="1:41">
      <c r="A509" s="391" t="s">
        <v>632</v>
      </c>
      <c r="B509" s="417">
        <v>42391</v>
      </c>
      <c r="C509" s="416" t="s">
        <v>1901</v>
      </c>
      <c r="D509" s="416" t="s">
        <v>1914</v>
      </c>
      <c r="E509" s="416" t="s">
        <v>547</v>
      </c>
      <c r="F509" s="416"/>
      <c r="G509" s="416">
        <v>5</v>
      </c>
      <c r="H509" s="392">
        <v>13926.17</v>
      </c>
      <c r="I509" s="392">
        <v>0</v>
      </c>
      <c r="J509" s="392">
        <f t="shared" si="116"/>
        <v>2785.2339999999999</v>
      </c>
      <c r="K509" s="416" t="s">
        <v>515</v>
      </c>
      <c r="L509" s="416"/>
      <c r="O509" s="392">
        <f t="shared" si="124"/>
        <v>0</v>
      </c>
      <c r="P509" s="392">
        <f t="shared" si="124"/>
        <v>0</v>
      </c>
      <c r="Q509" s="392">
        <f t="shared" si="124"/>
        <v>0</v>
      </c>
      <c r="R509" s="392">
        <f t="shared" si="124"/>
        <v>13926.17</v>
      </c>
      <c r="S509" s="392">
        <f t="shared" si="124"/>
        <v>0</v>
      </c>
      <c r="U509" s="392">
        <f t="shared" si="128"/>
        <v>0</v>
      </c>
      <c r="V509" s="392">
        <f t="shared" si="129"/>
        <v>0</v>
      </c>
      <c r="W509" s="392">
        <f t="shared" si="130"/>
        <v>0</v>
      </c>
      <c r="X509" s="392">
        <f t="shared" si="131"/>
        <v>0</v>
      </c>
      <c r="Y509" s="392">
        <f t="shared" si="132"/>
        <v>0</v>
      </c>
      <c r="AA509" s="392">
        <f t="shared" si="133"/>
        <v>0</v>
      </c>
      <c r="AB509" s="392">
        <f t="shared" si="134"/>
        <v>0</v>
      </c>
      <c r="AC509" s="392">
        <f t="shared" si="135"/>
        <v>0</v>
      </c>
      <c r="AD509" s="392">
        <f t="shared" si="136"/>
        <v>2785.2339999999999</v>
      </c>
      <c r="AE509" s="392">
        <f t="shared" si="137"/>
        <v>0</v>
      </c>
      <c r="AG509" s="409">
        <f t="shared" si="138"/>
        <v>0</v>
      </c>
      <c r="AH509" s="409">
        <f t="shared" si="139"/>
        <v>0</v>
      </c>
      <c r="AI509" s="409">
        <f t="shared" si="140"/>
        <v>0</v>
      </c>
      <c r="AJ509" s="409">
        <f t="shared" si="141"/>
        <v>1</v>
      </c>
      <c r="AK509" s="409">
        <f t="shared" si="142"/>
        <v>0</v>
      </c>
      <c r="AO509" s="423"/>
    </row>
    <row r="510" spans="1:41">
      <c r="A510" s="391" t="s">
        <v>632</v>
      </c>
      <c r="B510" s="417">
        <v>42433</v>
      </c>
      <c r="C510" s="416" t="s">
        <v>1902</v>
      </c>
      <c r="D510" s="416" t="s">
        <v>1915</v>
      </c>
      <c r="E510" s="416" t="s">
        <v>547</v>
      </c>
      <c r="F510" s="416"/>
      <c r="G510" s="416">
        <v>5</v>
      </c>
      <c r="H510" s="392">
        <v>29930</v>
      </c>
      <c r="I510" s="392">
        <v>0</v>
      </c>
      <c r="J510" s="392">
        <f t="shared" si="116"/>
        <v>5986</v>
      </c>
      <c r="K510" s="416" t="s">
        <v>515</v>
      </c>
      <c r="L510" s="416"/>
      <c r="O510" s="392">
        <f t="shared" si="124"/>
        <v>0</v>
      </c>
      <c r="P510" s="392">
        <f t="shared" si="124"/>
        <v>0</v>
      </c>
      <c r="Q510" s="392">
        <f t="shared" si="124"/>
        <v>0</v>
      </c>
      <c r="R510" s="392">
        <f t="shared" si="124"/>
        <v>29930</v>
      </c>
      <c r="S510" s="392">
        <f t="shared" si="124"/>
        <v>0</v>
      </c>
      <c r="U510" s="392">
        <f t="shared" si="128"/>
        <v>0</v>
      </c>
      <c r="V510" s="392">
        <f t="shared" si="129"/>
        <v>0</v>
      </c>
      <c r="W510" s="392">
        <f t="shared" si="130"/>
        <v>0</v>
      </c>
      <c r="X510" s="392">
        <f t="shared" si="131"/>
        <v>0</v>
      </c>
      <c r="Y510" s="392">
        <f t="shared" si="132"/>
        <v>0</v>
      </c>
      <c r="AA510" s="392">
        <f t="shared" si="133"/>
        <v>0</v>
      </c>
      <c r="AB510" s="392">
        <f t="shared" si="134"/>
        <v>0</v>
      </c>
      <c r="AC510" s="392">
        <f t="shared" si="135"/>
        <v>0</v>
      </c>
      <c r="AD510" s="392">
        <f t="shared" si="136"/>
        <v>5986</v>
      </c>
      <c r="AE510" s="392">
        <f t="shared" si="137"/>
        <v>0</v>
      </c>
      <c r="AG510" s="409">
        <f t="shared" si="138"/>
        <v>0</v>
      </c>
      <c r="AH510" s="409">
        <f t="shared" si="139"/>
        <v>0</v>
      </c>
      <c r="AI510" s="409">
        <f t="shared" si="140"/>
        <v>0</v>
      </c>
      <c r="AJ510" s="409">
        <f t="shared" si="141"/>
        <v>1</v>
      </c>
      <c r="AK510" s="409">
        <f t="shared" si="142"/>
        <v>0</v>
      </c>
      <c r="AO510" s="423"/>
    </row>
    <row r="511" spans="1:41">
      <c r="A511" s="391" t="s">
        <v>567</v>
      </c>
      <c r="B511" s="417">
        <v>42490</v>
      </c>
      <c r="C511" s="416" t="s">
        <v>1903</v>
      </c>
      <c r="D511" s="416" t="s">
        <v>1916</v>
      </c>
      <c r="E511" s="416" t="s">
        <v>547</v>
      </c>
      <c r="F511" s="416"/>
      <c r="G511" s="416">
        <v>30</v>
      </c>
      <c r="H511" s="392">
        <v>198898.95</v>
      </c>
      <c r="I511" s="392">
        <v>0</v>
      </c>
      <c r="J511" s="392">
        <f t="shared" si="116"/>
        <v>6629.9650000000001</v>
      </c>
      <c r="K511" s="416" t="s">
        <v>505</v>
      </c>
      <c r="L511" s="416"/>
      <c r="O511" s="392">
        <f t="shared" si="124"/>
        <v>0</v>
      </c>
      <c r="P511" s="392">
        <f t="shared" si="124"/>
        <v>0</v>
      </c>
      <c r="Q511" s="392">
        <f t="shared" si="124"/>
        <v>198898.95</v>
      </c>
      <c r="R511" s="392">
        <f t="shared" si="124"/>
        <v>0</v>
      </c>
      <c r="S511" s="392">
        <f t="shared" si="124"/>
        <v>0</v>
      </c>
      <c r="U511" s="392">
        <f t="shared" si="128"/>
        <v>0</v>
      </c>
      <c r="V511" s="392">
        <f t="shared" si="129"/>
        <v>0</v>
      </c>
      <c r="W511" s="392">
        <f t="shared" si="130"/>
        <v>0</v>
      </c>
      <c r="X511" s="392">
        <f t="shared" si="131"/>
        <v>0</v>
      </c>
      <c r="Y511" s="392">
        <f t="shared" si="132"/>
        <v>0</v>
      </c>
      <c r="AA511" s="392">
        <f t="shared" si="133"/>
        <v>0</v>
      </c>
      <c r="AB511" s="392">
        <f t="shared" si="134"/>
        <v>0</v>
      </c>
      <c r="AC511" s="392">
        <f t="shared" si="135"/>
        <v>6629.9650000000001</v>
      </c>
      <c r="AD511" s="392">
        <f t="shared" si="136"/>
        <v>0</v>
      </c>
      <c r="AE511" s="392">
        <f t="shared" si="137"/>
        <v>0</v>
      </c>
      <c r="AG511" s="409">
        <f t="shared" si="138"/>
        <v>0</v>
      </c>
      <c r="AH511" s="409">
        <f t="shared" si="139"/>
        <v>0</v>
      </c>
      <c r="AI511" s="409">
        <f t="shared" si="140"/>
        <v>1</v>
      </c>
      <c r="AJ511" s="409">
        <f t="shared" si="141"/>
        <v>0</v>
      </c>
      <c r="AK511" s="409">
        <f t="shared" si="142"/>
        <v>0</v>
      </c>
      <c r="AO511" s="423"/>
    </row>
    <row r="512" spans="1:41">
      <c r="A512" s="391" t="s">
        <v>616</v>
      </c>
      <c r="B512" s="417">
        <v>42490</v>
      </c>
      <c r="C512" s="416" t="s">
        <v>1904</v>
      </c>
      <c r="D512" s="416" t="s">
        <v>1917</v>
      </c>
      <c r="E512" s="416" t="s">
        <v>547</v>
      </c>
      <c r="F512" s="416"/>
      <c r="G512" s="416">
        <v>25</v>
      </c>
      <c r="H512" s="392">
        <v>91959.48</v>
      </c>
      <c r="I512" s="392">
        <v>0</v>
      </c>
      <c r="J512" s="392">
        <f t="shared" si="116"/>
        <v>3678.3791999999999</v>
      </c>
      <c r="K512" s="416" t="s">
        <v>505</v>
      </c>
      <c r="L512" s="416"/>
      <c r="O512" s="392">
        <f t="shared" si="124"/>
        <v>0</v>
      </c>
      <c r="P512" s="392">
        <f t="shared" si="124"/>
        <v>0</v>
      </c>
      <c r="Q512" s="392">
        <f t="shared" si="124"/>
        <v>91959.48</v>
      </c>
      <c r="R512" s="392">
        <f t="shared" si="124"/>
        <v>0</v>
      </c>
      <c r="S512" s="392">
        <f t="shared" si="124"/>
        <v>0</v>
      </c>
      <c r="U512" s="392">
        <f t="shared" si="128"/>
        <v>0</v>
      </c>
      <c r="V512" s="392">
        <f t="shared" si="129"/>
        <v>0</v>
      </c>
      <c r="W512" s="392">
        <f t="shared" si="130"/>
        <v>0</v>
      </c>
      <c r="X512" s="392">
        <f t="shared" si="131"/>
        <v>0</v>
      </c>
      <c r="Y512" s="392">
        <f t="shared" si="132"/>
        <v>0</v>
      </c>
      <c r="AA512" s="392">
        <f t="shared" si="133"/>
        <v>0</v>
      </c>
      <c r="AB512" s="392">
        <f t="shared" si="134"/>
        <v>0</v>
      </c>
      <c r="AC512" s="392">
        <f t="shared" si="135"/>
        <v>3678.3791999999999</v>
      </c>
      <c r="AD512" s="392">
        <f t="shared" si="136"/>
        <v>0</v>
      </c>
      <c r="AE512" s="392">
        <f t="shared" si="137"/>
        <v>0</v>
      </c>
      <c r="AG512" s="409">
        <f t="shared" si="138"/>
        <v>0</v>
      </c>
      <c r="AH512" s="409">
        <f t="shared" si="139"/>
        <v>0</v>
      </c>
      <c r="AI512" s="409">
        <f t="shared" si="140"/>
        <v>1</v>
      </c>
      <c r="AJ512" s="409">
        <f t="shared" si="141"/>
        <v>0</v>
      </c>
      <c r="AK512" s="409">
        <f t="shared" si="142"/>
        <v>0</v>
      </c>
      <c r="AO512" s="423"/>
    </row>
    <row r="513" spans="1:41">
      <c r="A513" s="391" t="s">
        <v>585</v>
      </c>
      <c r="B513" s="417">
        <v>42490</v>
      </c>
      <c r="C513" s="416" t="s">
        <v>1905</v>
      </c>
      <c r="D513" s="416" t="s">
        <v>1918</v>
      </c>
      <c r="E513" s="416" t="s">
        <v>547</v>
      </c>
      <c r="F513" s="416"/>
      <c r="G513" s="416">
        <v>30</v>
      </c>
      <c r="H513" s="392">
        <v>190390.24</v>
      </c>
      <c r="I513" s="392">
        <v>0</v>
      </c>
      <c r="J513" s="392">
        <f t="shared" si="116"/>
        <v>6346.3413333333328</v>
      </c>
      <c r="K513" s="416" t="s">
        <v>505</v>
      </c>
      <c r="L513" s="540"/>
      <c r="O513" s="392">
        <f t="shared" ref="O513:S519" si="143">IF(O$8=$K513,$H513,0)</f>
        <v>0</v>
      </c>
      <c r="P513" s="392">
        <f t="shared" si="143"/>
        <v>0</v>
      </c>
      <c r="Q513" s="392">
        <f t="shared" si="143"/>
        <v>190390.24</v>
      </c>
      <c r="R513" s="392">
        <f t="shared" si="143"/>
        <v>0</v>
      </c>
      <c r="S513" s="392">
        <f t="shared" si="143"/>
        <v>0</v>
      </c>
      <c r="U513" s="392">
        <f t="shared" si="128"/>
        <v>0</v>
      </c>
      <c r="V513" s="392">
        <f t="shared" si="129"/>
        <v>0</v>
      </c>
      <c r="W513" s="392">
        <f t="shared" si="130"/>
        <v>0</v>
      </c>
      <c r="X513" s="392">
        <f t="shared" si="131"/>
        <v>0</v>
      </c>
      <c r="Y513" s="392">
        <f t="shared" si="132"/>
        <v>0</v>
      </c>
      <c r="AA513" s="392">
        <f t="shared" si="133"/>
        <v>0</v>
      </c>
      <c r="AB513" s="392">
        <f t="shared" si="134"/>
        <v>0</v>
      </c>
      <c r="AC513" s="392">
        <f t="shared" si="135"/>
        <v>6346.3413333333328</v>
      </c>
      <c r="AD513" s="392">
        <f t="shared" si="136"/>
        <v>0</v>
      </c>
      <c r="AE513" s="392">
        <f t="shared" si="137"/>
        <v>0</v>
      </c>
      <c r="AG513" s="409">
        <f t="shared" si="138"/>
        <v>0</v>
      </c>
      <c r="AH513" s="409">
        <f t="shared" si="139"/>
        <v>0</v>
      </c>
      <c r="AI513" s="409">
        <f t="shared" si="140"/>
        <v>1</v>
      </c>
      <c r="AJ513" s="409">
        <f t="shared" si="141"/>
        <v>0</v>
      </c>
      <c r="AK513" s="409">
        <f t="shared" si="142"/>
        <v>0</v>
      </c>
      <c r="AO513" s="423"/>
    </row>
    <row r="514" spans="1:41">
      <c r="A514" s="391" t="s">
        <v>572</v>
      </c>
      <c r="B514" s="417">
        <v>42490</v>
      </c>
      <c r="C514" s="416" t="s">
        <v>1906</v>
      </c>
      <c r="D514" s="416" t="s">
        <v>1919</v>
      </c>
      <c r="E514" s="416" t="s">
        <v>547</v>
      </c>
      <c r="F514" s="416"/>
      <c r="G514" s="416">
        <v>30</v>
      </c>
      <c r="H514" s="392">
        <v>673114.86</v>
      </c>
      <c r="I514" s="392">
        <v>0</v>
      </c>
      <c r="J514" s="392">
        <f t="shared" si="116"/>
        <v>22437.162</v>
      </c>
      <c r="K514" s="416" t="s">
        <v>505</v>
      </c>
      <c r="L514" s="540"/>
      <c r="M514" s="391" t="s">
        <v>1953</v>
      </c>
      <c r="O514" s="392">
        <f t="shared" si="143"/>
        <v>0</v>
      </c>
      <c r="P514" s="392">
        <f t="shared" si="143"/>
        <v>0</v>
      </c>
      <c r="Q514" s="392">
        <f t="shared" si="143"/>
        <v>673114.86</v>
      </c>
      <c r="R514" s="392">
        <f t="shared" si="143"/>
        <v>0</v>
      </c>
      <c r="S514" s="392">
        <f t="shared" si="143"/>
        <v>0</v>
      </c>
      <c r="U514" s="392">
        <f t="shared" si="128"/>
        <v>0</v>
      </c>
      <c r="V514" s="392">
        <f t="shared" si="129"/>
        <v>0</v>
      </c>
      <c r="W514" s="392">
        <f t="shared" si="130"/>
        <v>0</v>
      </c>
      <c r="X514" s="392">
        <f t="shared" si="131"/>
        <v>0</v>
      </c>
      <c r="Y514" s="392">
        <f t="shared" si="132"/>
        <v>0</v>
      </c>
      <c r="AA514" s="392">
        <f t="shared" si="133"/>
        <v>0</v>
      </c>
      <c r="AB514" s="392">
        <f t="shared" si="134"/>
        <v>0</v>
      </c>
      <c r="AC514" s="392">
        <f t="shared" si="135"/>
        <v>22437.162</v>
      </c>
      <c r="AD514" s="392">
        <f t="shared" si="136"/>
        <v>0</v>
      </c>
      <c r="AE514" s="392">
        <f t="shared" si="137"/>
        <v>0</v>
      </c>
      <c r="AG514" s="409">
        <f t="shared" si="138"/>
        <v>0</v>
      </c>
      <c r="AH514" s="409">
        <f t="shared" si="139"/>
        <v>0</v>
      </c>
      <c r="AI514" s="409">
        <f t="shared" si="140"/>
        <v>1</v>
      </c>
      <c r="AJ514" s="409">
        <f t="shared" si="141"/>
        <v>0</v>
      </c>
      <c r="AK514" s="409">
        <f t="shared" si="142"/>
        <v>0</v>
      </c>
      <c r="AO514" s="423"/>
    </row>
    <row r="515" spans="1:41">
      <c r="A515" s="391" t="s">
        <v>1943</v>
      </c>
      <c r="B515" s="417">
        <v>42490</v>
      </c>
      <c r="C515" s="416" t="s">
        <v>1947</v>
      </c>
      <c r="D515" s="416"/>
      <c r="E515" s="416"/>
      <c r="F515" s="416"/>
      <c r="G515" s="416">
        <v>30</v>
      </c>
      <c r="H515" s="392">
        <v>88330371.549999997</v>
      </c>
      <c r="I515" s="392">
        <v>0</v>
      </c>
      <c r="J515" s="392">
        <f t="shared" ref="J515:J519" si="144">H515/G515</f>
        <v>2944345.7183333333</v>
      </c>
      <c r="K515" s="416" t="s">
        <v>504</v>
      </c>
      <c r="L515" s="540"/>
      <c r="O515" s="392">
        <f t="shared" si="143"/>
        <v>88330371.549999997</v>
      </c>
      <c r="P515" s="392">
        <f t="shared" si="143"/>
        <v>0</v>
      </c>
      <c r="Q515" s="392">
        <f t="shared" si="143"/>
        <v>0</v>
      </c>
      <c r="R515" s="392">
        <f t="shared" si="143"/>
        <v>0</v>
      </c>
      <c r="S515" s="392">
        <f t="shared" si="143"/>
        <v>0</v>
      </c>
      <c r="U515" s="392">
        <f t="shared" si="128"/>
        <v>0</v>
      </c>
      <c r="V515" s="392">
        <f t="shared" si="129"/>
        <v>0</v>
      </c>
      <c r="W515" s="392">
        <f t="shared" si="130"/>
        <v>0</v>
      </c>
      <c r="X515" s="392">
        <f t="shared" si="131"/>
        <v>0</v>
      </c>
      <c r="Y515" s="392">
        <f t="shared" si="132"/>
        <v>0</v>
      </c>
      <c r="AA515" s="392">
        <f t="shared" si="133"/>
        <v>2944345.7183333333</v>
      </c>
      <c r="AB515" s="392">
        <f t="shared" si="134"/>
        <v>0</v>
      </c>
      <c r="AC515" s="392">
        <f t="shared" si="135"/>
        <v>0</v>
      </c>
      <c r="AD515" s="392">
        <f t="shared" si="136"/>
        <v>0</v>
      </c>
      <c r="AE515" s="392">
        <f t="shared" si="137"/>
        <v>0</v>
      </c>
      <c r="AG515" s="409">
        <f t="shared" si="138"/>
        <v>1</v>
      </c>
      <c r="AH515" s="409">
        <f t="shared" si="139"/>
        <v>0</v>
      </c>
      <c r="AI515" s="409">
        <f t="shared" si="140"/>
        <v>0</v>
      </c>
      <c r="AJ515" s="409">
        <f t="shared" si="141"/>
        <v>0</v>
      </c>
      <c r="AK515" s="409">
        <f t="shared" si="142"/>
        <v>0</v>
      </c>
      <c r="AO515" s="423"/>
    </row>
    <row r="516" spans="1:41">
      <c r="A516" s="391" t="s">
        <v>1944</v>
      </c>
      <c r="B516" s="417">
        <v>42490</v>
      </c>
      <c r="C516" s="416" t="s">
        <v>1948</v>
      </c>
      <c r="D516" s="416"/>
      <c r="E516" s="416"/>
      <c r="F516" s="416"/>
      <c r="G516" s="416">
        <v>30</v>
      </c>
      <c r="H516" s="392">
        <v>2508990.0099999998</v>
      </c>
      <c r="I516" s="392">
        <v>0</v>
      </c>
      <c r="J516" s="392">
        <f t="shared" si="144"/>
        <v>83633.00033333333</v>
      </c>
      <c r="K516" s="416" t="s">
        <v>505</v>
      </c>
      <c r="L516" s="540"/>
      <c r="M516" s="391" t="s">
        <v>1952</v>
      </c>
      <c r="O516" s="392">
        <f t="shared" si="143"/>
        <v>0</v>
      </c>
      <c r="P516" s="392">
        <f t="shared" si="143"/>
        <v>0</v>
      </c>
      <c r="Q516" s="392">
        <f t="shared" si="143"/>
        <v>2508990.0099999998</v>
      </c>
      <c r="R516" s="392">
        <f t="shared" si="143"/>
        <v>0</v>
      </c>
      <c r="S516" s="392">
        <f t="shared" si="143"/>
        <v>0</v>
      </c>
      <c r="U516" s="392">
        <f t="shared" si="128"/>
        <v>0</v>
      </c>
      <c r="V516" s="392">
        <f t="shared" si="129"/>
        <v>0</v>
      </c>
      <c r="W516" s="392">
        <f t="shared" si="130"/>
        <v>0</v>
      </c>
      <c r="X516" s="392">
        <f t="shared" si="131"/>
        <v>0</v>
      </c>
      <c r="Y516" s="392">
        <f t="shared" si="132"/>
        <v>0</v>
      </c>
      <c r="AA516" s="392">
        <f t="shared" si="133"/>
        <v>0</v>
      </c>
      <c r="AB516" s="392">
        <f t="shared" si="134"/>
        <v>0</v>
      </c>
      <c r="AC516" s="392">
        <f t="shared" si="135"/>
        <v>83633.00033333333</v>
      </c>
      <c r="AD516" s="392">
        <f t="shared" si="136"/>
        <v>0</v>
      </c>
      <c r="AE516" s="392">
        <f t="shared" si="137"/>
        <v>0</v>
      </c>
      <c r="AG516" s="409">
        <f t="shared" si="138"/>
        <v>0</v>
      </c>
      <c r="AH516" s="409">
        <f t="shared" si="139"/>
        <v>0</v>
      </c>
      <c r="AI516" s="409">
        <f t="shared" si="140"/>
        <v>1</v>
      </c>
      <c r="AJ516" s="409">
        <f t="shared" si="141"/>
        <v>0</v>
      </c>
      <c r="AK516" s="409">
        <f t="shared" si="142"/>
        <v>0</v>
      </c>
      <c r="AO516" s="423"/>
    </row>
    <row r="517" spans="1:41">
      <c r="A517" s="391" t="s">
        <v>1945</v>
      </c>
      <c r="B517" s="417">
        <v>42490</v>
      </c>
      <c r="C517" s="416" t="s">
        <v>1949</v>
      </c>
      <c r="D517" s="416"/>
      <c r="E517" s="416"/>
      <c r="F517" s="416"/>
      <c r="G517" s="416">
        <v>30</v>
      </c>
      <c r="H517" s="392">
        <v>155402.28</v>
      </c>
      <c r="I517" s="392">
        <v>0</v>
      </c>
      <c r="J517" s="392">
        <f t="shared" si="144"/>
        <v>5180.076</v>
      </c>
      <c r="K517" s="416" t="s">
        <v>45</v>
      </c>
      <c r="L517" s="540"/>
      <c r="M517" s="391" t="s">
        <v>1950</v>
      </c>
      <c r="O517" s="392">
        <f t="shared" si="143"/>
        <v>0</v>
      </c>
      <c r="P517" s="392">
        <f t="shared" si="143"/>
        <v>155402.28</v>
      </c>
      <c r="Q517" s="392">
        <f t="shared" si="143"/>
        <v>0</v>
      </c>
      <c r="R517" s="392">
        <f t="shared" si="143"/>
        <v>0</v>
      </c>
      <c r="S517" s="392">
        <f t="shared" si="143"/>
        <v>0</v>
      </c>
      <c r="U517" s="392">
        <f t="shared" si="128"/>
        <v>0</v>
      </c>
      <c r="V517" s="392">
        <f t="shared" si="129"/>
        <v>0</v>
      </c>
      <c r="W517" s="392">
        <f t="shared" si="130"/>
        <v>0</v>
      </c>
      <c r="X517" s="392">
        <f t="shared" si="131"/>
        <v>0</v>
      </c>
      <c r="Y517" s="392">
        <f t="shared" si="132"/>
        <v>0</v>
      </c>
      <c r="AA517" s="392">
        <f t="shared" si="133"/>
        <v>0</v>
      </c>
      <c r="AB517" s="392">
        <f t="shared" si="134"/>
        <v>5180.076</v>
      </c>
      <c r="AC517" s="392">
        <f t="shared" si="135"/>
        <v>0</v>
      </c>
      <c r="AD517" s="392">
        <f t="shared" si="136"/>
        <v>0</v>
      </c>
      <c r="AE517" s="392">
        <f t="shared" si="137"/>
        <v>0</v>
      </c>
      <c r="AG517" s="409">
        <f t="shared" si="138"/>
        <v>0</v>
      </c>
      <c r="AH517" s="409">
        <f t="shared" si="139"/>
        <v>1</v>
      </c>
      <c r="AI517" s="409">
        <f t="shared" si="140"/>
        <v>0</v>
      </c>
      <c r="AJ517" s="409">
        <f t="shared" si="141"/>
        <v>0</v>
      </c>
      <c r="AK517" s="409">
        <f t="shared" si="142"/>
        <v>0</v>
      </c>
      <c r="AO517" s="423"/>
    </row>
    <row r="518" spans="1:41">
      <c r="A518" s="391" t="s">
        <v>1945</v>
      </c>
      <c r="B518" s="417">
        <v>42490</v>
      </c>
      <c r="C518" s="416" t="s">
        <v>1949</v>
      </c>
      <c r="D518" s="416"/>
      <c r="E518" s="416"/>
      <c r="F518" s="416"/>
      <c r="G518" s="416">
        <v>30</v>
      </c>
      <c r="H518" s="392">
        <v>334317.81</v>
      </c>
      <c r="I518" s="392">
        <v>0</v>
      </c>
      <c r="J518" s="392">
        <f t="shared" si="144"/>
        <v>11143.927</v>
      </c>
      <c r="K518" s="416" t="s">
        <v>45</v>
      </c>
      <c r="L518" s="540"/>
      <c r="M518" s="391" t="s">
        <v>1950</v>
      </c>
      <c r="O518" s="392">
        <f t="shared" si="143"/>
        <v>0</v>
      </c>
      <c r="P518" s="392">
        <f t="shared" si="143"/>
        <v>334317.81</v>
      </c>
      <c r="Q518" s="392">
        <f t="shared" si="143"/>
        <v>0</v>
      </c>
      <c r="R518" s="392">
        <f t="shared" si="143"/>
        <v>0</v>
      </c>
      <c r="S518" s="392">
        <f t="shared" si="143"/>
        <v>0</v>
      </c>
      <c r="U518" s="392">
        <f t="shared" ref="U518:U519" si="145">$I518*AG518</f>
        <v>0</v>
      </c>
      <c r="V518" s="392">
        <f t="shared" ref="V518:V519" si="146">$I518*AH518</f>
        <v>0</v>
      </c>
      <c r="W518" s="392">
        <f t="shared" ref="W518:W519" si="147">$I518*AI518</f>
        <v>0</v>
      </c>
      <c r="X518" s="392">
        <f t="shared" ref="X518:X519" si="148">$I518*AJ518</f>
        <v>0</v>
      </c>
      <c r="Y518" s="392">
        <f t="shared" ref="Y518:Y519" si="149">$I518*AK518</f>
        <v>0</v>
      </c>
      <c r="AA518" s="392">
        <f t="shared" ref="AA518:AA519" si="150">$J518*AG518</f>
        <v>0</v>
      </c>
      <c r="AB518" s="392">
        <f t="shared" ref="AB518:AB519" si="151">$J518*AH518</f>
        <v>11143.927</v>
      </c>
      <c r="AC518" s="392">
        <f t="shared" ref="AC518:AC519" si="152">$J518*AI518</f>
        <v>0</v>
      </c>
      <c r="AD518" s="392">
        <f t="shared" ref="AD518:AD519" si="153">$J518*AJ518</f>
        <v>0</v>
      </c>
      <c r="AE518" s="392">
        <f t="shared" ref="AE518:AE519" si="154">$J518*AK518</f>
        <v>0</v>
      </c>
      <c r="AG518" s="409">
        <f t="shared" ref="AG518:AG519" si="155">IF($H518=0,0,O518/$H518)</f>
        <v>0</v>
      </c>
      <c r="AH518" s="409">
        <f t="shared" ref="AH518:AH519" si="156">IF($H518=0,0,P518/$H518)</f>
        <v>1</v>
      </c>
      <c r="AI518" s="409">
        <f t="shared" ref="AI518:AI519" si="157">IF($H518=0,0,Q518/$H518)</f>
        <v>0</v>
      </c>
      <c r="AJ518" s="409">
        <f t="shared" ref="AJ518:AJ519" si="158">IF($H518=0,0,R518/$H518)</f>
        <v>0</v>
      </c>
      <c r="AK518" s="409">
        <f t="shared" ref="AK518:AK519" si="159">IF($H518=0,0,S518/$H518)</f>
        <v>0</v>
      </c>
      <c r="AO518" s="423"/>
    </row>
    <row r="519" spans="1:41">
      <c r="A519" s="391" t="s">
        <v>1946</v>
      </c>
      <c r="B519" s="417">
        <v>42490</v>
      </c>
      <c r="C519" s="416" t="s">
        <v>1517</v>
      </c>
      <c r="D519" s="416"/>
      <c r="E519" s="416"/>
      <c r="F519" s="416"/>
      <c r="G519" s="416">
        <v>30</v>
      </c>
      <c r="H519" s="392">
        <v>85962.27</v>
      </c>
      <c r="I519" s="392">
        <v>0</v>
      </c>
      <c r="J519" s="392">
        <f t="shared" si="144"/>
        <v>2865.4090000000001</v>
      </c>
      <c r="K519" s="416" t="s">
        <v>45</v>
      </c>
      <c r="L519" s="540"/>
      <c r="M519" s="391" t="s">
        <v>1951</v>
      </c>
      <c r="O519" s="392">
        <f t="shared" si="143"/>
        <v>0</v>
      </c>
      <c r="P519" s="392">
        <f t="shared" si="143"/>
        <v>85962.27</v>
      </c>
      <c r="Q519" s="392">
        <f t="shared" si="143"/>
        <v>0</v>
      </c>
      <c r="R519" s="392">
        <f t="shared" si="143"/>
        <v>0</v>
      </c>
      <c r="S519" s="392">
        <f t="shared" si="143"/>
        <v>0</v>
      </c>
      <c r="U519" s="392">
        <f t="shared" si="145"/>
        <v>0</v>
      </c>
      <c r="V519" s="392">
        <f t="shared" si="146"/>
        <v>0</v>
      </c>
      <c r="W519" s="392">
        <f t="shared" si="147"/>
        <v>0</v>
      </c>
      <c r="X519" s="392">
        <f t="shared" si="148"/>
        <v>0</v>
      </c>
      <c r="Y519" s="392">
        <f t="shared" si="149"/>
        <v>0</v>
      </c>
      <c r="AA519" s="392">
        <f t="shared" si="150"/>
        <v>0</v>
      </c>
      <c r="AB519" s="392">
        <f t="shared" si="151"/>
        <v>2865.4090000000001</v>
      </c>
      <c r="AC519" s="392">
        <f t="shared" si="152"/>
        <v>0</v>
      </c>
      <c r="AD519" s="392">
        <f t="shared" si="153"/>
        <v>0</v>
      </c>
      <c r="AE519" s="392">
        <f t="shared" si="154"/>
        <v>0</v>
      </c>
      <c r="AG519" s="409">
        <f t="shared" si="155"/>
        <v>0</v>
      </c>
      <c r="AH519" s="409">
        <f t="shared" si="156"/>
        <v>1</v>
      </c>
      <c r="AI519" s="409">
        <f t="shared" si="157"/>
        <v>0</v>
      </c>
      <c r="AJ519" s="409">
        <f t="shared" si="158"/>
        <v>0</v>
      </c>
      <c r="AK519" s="409">
        <f t="shared" si="159"/>
        <v>0</v>
      </c>
      <c r="AO519" s="423"/>
    </row>
    <row r="520" spans="1:41">
      <c r="B520" s="408"/>
    </row>
    <row r="521" spans="1:41" ht="13.5" thickBot="1">
      <c r="B521" s="408"/>
      <c r="C521" s="539" t="s">
        <v>1941</v>
      </c>
      <c r="H521" s="418">
        <f>SUM(H9:H520)</f>
        <v>199559164.28000009</v>
      </c>
      <c r="I521" s="418">
        <f>SUM(I9:I520)</f>
        <v>52011713.340000011</v>
      </c>
      <c r="J521" s="418">
        <f>SUM(J9:J520)</f>
        <v>6121280.0171333347</v>
      </c>
      <c r="O521" s="418">
        <f>SUM(O9:O520)</f>
        <v>115525050.97999999</v>
      </c>
      <c r="P521" s="418">
        <f>SUM(P9:P520)</f>
        <v>17888259.302999996</v>
      </c>
      <c r="Q521" s="418">
        <f>SUM(Q9:Q520)</f>
        <v>61922437.387000002</v>
      </c>
      <c r="R521" s="418">
        <f>SUM(R9:R520)</f>
        <v>4223416.0600000005</v>
      </c>
      <c r="S521" s="418">
        <f>SUM(S9:S520)</f>
        <v>0</v>
      </c>
      <c r="U521" s="418">
        <f>SUM(U9:U520)</f>
        <v>2202375.37</v>
      </c>
      <c r="V521" s="418">
        <f>SUM(V9:V520)</f>
        <v>10577534.220825888</v>
      </c>
      <c r="W521" s="418">
        <f>SUM(W9:W520)</f>
        <v>35969735.468507417</v>
      </c>
      <c r="X521" s="418">
        <f>SUM(X9:X520)</f>
        <v>3262068.2799999989</v>
      </c>
      <c r="Y521" s="418">
        <f>SUM(Y9:Y520)</f>
        <v>0</v>
      </c>
      <c r="AA521" s="418">
        <f>SUM(AA9:AA520)</f>
        <v>3837135.2883333331</v>
      </c>
      <c r="AB521" s="418">
        <f>SUM(AB9:AB520)</f>
        <v>557212.29950960435</v>
      </c>
      <c r="AC521" s="418">
        <f>SUM(AC9:AC520)</f>
        <v>1439173.082957061</v>
      </c>
      <c r="AD521" s="418">
        <f>SUM(AD9:AD520)</f>
        <v>287759.32799999998</v>
      </c>
      <c r="AE521" s="418">
        <f>SUM(AE9:AE520)</f>
        <v>0</v>
      </c>
    </row>
    <row r="522" spans="1:41" ht="13.5" thickTop="1">
      <c r="B522" s="408"/>
    </row>
    <row r="523" spans="1:41">
      <c r="B523" s="408"/>
      <c r="C523" s="539" t="s">
        <v>1518</v>
      </c>
      <c r="H523" s="419">
        <v>126710498.65999998</v>
      </c>
      <c r="I523" s="419">
        <v>65563238.409999959</v>
      </c>
      <c r="J523" s="419">
        <v>3542423.318266667</v>
      </c>
      <c r="K523" s="406"/>
      <c r="L523" s="406"/>
      <c r="M523" s="406"/>
      <c r="N523" s="406"/>
      <c r="O523" s="419">
        <v>45701329.659999996</v>
      </c>
      <c r="P523" s="419">
        <v>17312576.942999996</v>
      </c>
      <c r="Q523" s="419">
        <v>59660500.147</v>
      </c>
      <c r="R523" s="419">
        <v>4036091.3599999994</v>
      </c>
      <c r="S523" s="419">
        <v>0</v>
      </c>
      <c r="T523" s="406"/>
      <c r="U523" s="419">
        <v>17335368.230000004</v>
      </c>
      <c r="V523" s="419">
        <v>10039511.342649618</v>
      </c>
      <c r="W523" s="419">
        <v>35198378.075017065</v>
      </c>
      <c r="X523" s="419">
        <v>2989980.7799999984</v>
      </c>
      <c r="Y523" s="419">
        <v>0</v>
      </c>
      <c r="Z523" s="406"/>
      <c r="AA523" s="419">
        <v>1219087.33</v>
      </c>
      <c r="AB523" s="419">
        <v>521439.07917627099</v>
      </c>
      <c r="AC523" s="419">
        <v>1386905.9917570609</v>
      </c>
      <c r="AD523" s="419">
        <v>414990.89899999998</v>
      </c>
      <c r="AE523" s="419">
        <v>0</v>
      </c>
    </row>
    <row r="524" spans="1:41">
      <c r="B524" s="408"/>
      <c r="C524" s="539"/>
      <c r="H524" s="391"/>
      <c r="I524" s="391"/>
      <c r="J524" s="391"/>
    </row>
    <row r="525" spans="1:41">
      <c r="B525" s="408"/>
      <c r="C525" s="539" t="s">
        <v>1942</v>
      </c>
      <c r="H525" s="406">
        <f>H521-H523</f>
        <v>72848665.620000109</v>
      </c>
      <c r="I525" s="406">
        <f>I521-I523</f>
        <v>-13551525.069999948</v>
      </c>
      <c r="J525" s="406">
        <f>J521-J523</f>
        <v>2578856.6988666677</v>
      </c>
      <c r="K525" s="406"/>
      <c r="L525" s="406"/>
      <c r="M525" s="406"/>
      <c r="N525" s="406"/>
      <c r="O525" s="406">
        <f>O521-O523</f>
        <v>69823721.319999993</v>
      </c>
      <c r="P525" s="406">
        <f>P521-P523</f>
        <v>575682.3599999994</v>
      </c>
      <c r="Q525" s="406">
        <f>Q521-Q523</f>
        <v>2261937.2400000021</v>
      </c>
      <c r="R525" s="406">
        <f>R521-R523</f>
        <v>187324.70000000112</v>
      </c>
      <c r="S525" s="406">
        <f>S521-S523</f>
        <v>0</v>
      </c>
      <c r="T525" s="406"/>
      <c r="U525" s="406">
        <f>U521-U523</f>
        <v>-15132992.860000003</v>
      </c>
      <c r="V525" s="406">
        <f>V521-V523</f>
        <v>538022.87817627005</v>
      </c>
      <c r="W525" s="406">
        <f>W521-W523</f>
        <v>771357.39349035174</v>
      </c>
      <c r="X525" s="406">
        <f>X521-X523</f>
        <v>272087.50000000047</v>
      </c>
      <c r="Y525" s="406">
        <f>Y521-Y523</f>
        <v>0</v>
      </c>
      <c r="Z525" s="406"/>
      <c r="AA525" s="406">
        <f>AA521-AA523</f>
        <v>2618047.958333333</v>
      </c>
      <c r="AB525" s="406">
        <f>AB521-AB523</f>
        <v>35773.22033333336</v>
      </c>
      <c r="AC525" s="406">
        <f>AC521-AC523</f>
        <v>52267.091200000141</v>
      </c>
      <c r="AD525" s="406">
        <f>AD521-AD523</f>
        <v>-127231.571</v>
      </c>
      <c r="AE525" s="406">
        <f>AE521-AE523</f>
        <v>0</v>
      </c>
    </row>
    <row r="526" spans="1:41">
      <c r="B526" s="408"/>
    </row>
    <row r="527" spans="1:41">
      <c r="B527" s="408"/>
    </row>
    <row r="528" spans="1:41">
      <c r="B528" s="408"/>
    </row>
    <row r="529" spans="2:9">
      <c r="B529" s="408"/>
    </row>
    <row r="530" spans="2:9">
      <c r="B530" s="408"/>
    </row>
    <row r="531" spans="2:9">
      <c r="B531" s="408"/>
    </row>
    <row r="532" spans="2:9">
      <c r="B532" s="408"/>
    </row>
    <row r="533" spans="2:9">
      <c r="B533" s="408"/>
      <c r="G533" s="391" t="s">
        <v>1519</v>
      </c>
      <c r="H533" s="391"/>
    </row>
    <row r="534" spans="2:9">
      <c r="G534" s="391" t="s">
        <v>1520</v>
      </c>
      <c r="H534" s="391"/>
    </row>
    <row r="535" spans="2:9" ht="15">
      <c r="G535" s="420" t="s">
        <v>1521</v>
      </c>
      <c r="H535" s="420" t="s">
        <v>1522</v>
      </c>
      <c r="I535"/>
    </row>
    <row r="536" spans="2:9" ht="15">
      <c r="G536" s="421" t="s">
        <v>544</v>
      </c>
      <c r="H536" s="422">
        <v>299808.94</v>
      </c>
      <c r="I536"/>
    </row>
    <row r="537" spans="2:9" ht="15">
      <c r="G537" s="421" t="s">
        <v>813</v>
      </c>
      <c r="H537" s="422">
        <v>400000</v>
      </c>
      <c r="I537"/>
    </row>
    <row r="538" spans="2:9" ht="15">
      <c r="G538" s="421" t="s">
        <v>548</v>
      </c>
      <c r="H538" s="422">
        <v>31980</v>
      </c>
      <c r="I538"/>
    </row>
    <row r="539" spans="2:9" ht="15">
      <c r="G539" s="421" t="s">
        <v>538</v>
      </c>
      <c r="H539" s="422">
        <v>20043024.640000001</v>
      </c>
      <c r="I539"/>
    </row>
    <row r="540" spans="2:9" ht="15">
      <c r="G540" s="421" t="s">
        <v>1481</v>
      </c>
      <c r="H540" s="422">
        <v>26775000</v>
      </c>
      <c r="I540"/>
    </row>
    <row r="541" spans="2:9" ht="15">
      <c r="G541" s="421" t="s">
        <v>567</v>
      </c>
      <c r="H541" s="422">
        <v>2718064.1</v>
      </c>
      <c r="I541"/>
    </row>
    <row r="542" spans="2:9" ht="15">
      <c r="G542" s="421" t="s">
        <v>616</v>
      </c>
      <c r="H542" s="422">
        <v>1199676.2999999998</v>
      </c>
      <c r="I542"/>
    </row>
    <row r="543" spans="2:9" ht="15">
      <c r="G543" s="421" t="s">
        <v>592</v>
      </c>
      <c r="H543" s="422">
        <v>2656886.9800000004</v>
      </c>
      <c r="I543"/>
    </row>
    <row r="544" spans="2:9" ht="15">
      <c r="G544" s="421" t="s">
        <v>551</v>
      </c>
      <c r="H544" s="422">
        <v>2772685.3699999996</v>
      </c>
      <c r="I544"/>
    </row>
    <row r="545" spans="7:9" ht="15">
      <c r="G545" s="421" t="s">
        <v>1023</v>
      </c>
      <c r="H545" s="422">
        <v>4343710.4400000004</v>
      </c>
      <c r="I545"/>
    </row>
    <row r="546" spans="7:9" ht="15">
      <c r="G546" s="421" t="s">
        <v>554</v>
      </c>
      <c r="H546" s="422">
        <v>17002645.100000001</v>
      </c>
      <c r="I546"/>
    </row>
    <row r="547" spans="7:9" ht="15">
      <c r="G547" s="421" t="s">
        <v>541</v>
      </c>
      <c r="H547" s="422">
        <v>58000.82</v>
      </c>
      <c r="I547"/>
    </row>
    <row r="548" spans="7:9" ht="15">
      <c r="G548" s="421" t="s">
        <v>585</v>
      </c>
      <c r="H548" s="422">
        <v>11981058.529999999</v>
      </c>
      <c r="I548"/>
    </row>
    <row r="549" spans="7:9" ht="15">
      <c r="G549" s="421" t="s">
        <v>572</v>
      </c>
      <c r="H549" s="422">
        <v>7933062.4400000004</v>
      </c>
      <c r="I549"/>
    </row>
    <row r="550" spans="7:9" ht="15">
      <c r="G550" s="421" t="s">
        <v>609</v>
      </c>
      <c r="H550" s="422">
        <v>4916686.21</v>
      </c>
      <c r="I550"/>
    </row>
    <row r="551" spans="7:9" ht="15">
      <c r="G551" s="421" t="s">
        <v>643</v>
      </c>
      <c r="H551" s="422">
        <v>1706177.25</v>
      </c>
      <c r="I551"/>
    </row>
    <row r="552" spans="7:9" ht="15">
      <c r="G552" s="421" t="s">
        <v>660</v>
      </c>
      <c r="H552" s="422">
        <v>7819252.1200000001</v>
      </c>
      <c r="I552"/>
    </row>
    <row r="553" spans="7:9">
      <c r="G553" s="421" t="s">
        <v>922</v>
      </c>
      <c r="H553" s="422">
        <v>9593838.8399999999</v>
      </c>
      <c r="I553" s="391"/>
    </row>
    <row r="554" spans="7:9">
      <c r="G554" s="421" t="s">
        <v>982</v>
      </c>
      <c r="H554" s="422">
        <v>86836.760000000009</v>
      </c>
    </row>
    <row r="555" spans="7:9">
      <c r="G555" s="421" t="s">
        <v>1148</v>
      </c>
      <c r="H555" s="422">
        <v>88490</v>
      </c>
    </row>
    <row r="556" spans="7:9">
      <c r="G556" s="421" t="s">
        <v>646</v>
      </c>
      <c r="H556" s="422">
        <v>2319990.33</v>
      </c>
    </row>
    <row r="557" spans="7:9">
      <c r="G557" s="421" t="s">
        <v>632</v>
      </c>
      <c r="H557" s="422">
        <v>1239169.07</v>
      </c>
    </row>
    <row r="558" spans="7:9">
      <c r="G558" s="421" t="s">
        <v>682</v>
      </c>
      <c r="H558" s="422">
        <v>724454.42000000016</v>
      </c>
    </row>
    <row r="559" spans="7:9">
      <c r="G559" s="421" t="s">
        <v>1523</v>
      </c>
      <c r="H559" s="422">
        <v>126710498.65999998</v>
      </c>
    </row>
    <row r="560" spans="7:9" ht="15">
      <c r="G560"/>
      <c r="H560"/>
    </row>
    <row r="561" spans="7:8">
      <c r="G561" s="391" t="s">
        <v>412</v>
      </c>
      <c r="H561" s="423">
        <f>GETPIVOTDATA("Original Cost",$G$535)-H521</f>
        <v>-72848665.620000109</v>
      </c>
    </row>
  </sheetData>
  <autoFilter ref="A8:AK519"/>
  <printOptions horizontalCentered="1"/>
  <pageMargins left="0.25" right="0.25" top="0.5" bottom="0.5" header="0.25" footer="0.25"/>
  <pageSetup scale="45" pageOrder="overThenDown" orientation="landscape" r:id="rId2"/>
  <headerFooter alignWithMargins="0">
    <oddFooter>&amp;L&amp;10&amp;F&amp;R&amp;10&amp;A</oddFooter>
  </headerFooter>
  <colBreaks count="2" manualBreakCount="2">
    <brk id="14" max="1048575" man="1"/>
    <brk id="31" max="1048575" man="1"/>
  </colBreaks>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68"/>
  <sheetViews>
    <sheetView zoomScale="85" zoomScaleNormal="85" zoomScaleSheetLayoutView="100" workbookViewId="0">
      <pane xSplit="2" ySplit="9" topLeftCell="C10" activePane="bottomRight" state="frozen"/>
      <selection activeCell="I22" sqref="I22"/>
      <selection pane="topRight" activeCell="I22" sqref="I22"/>
      <selection pane="bottomLeft" activeCell="I22" sqref="I22"/>
      <selection pane="bottomRight" activeCell="I22" sqref="I22"/>
    </sheetView>
  </sheetViews>
  <sheetFormatPr defaultRowHeight="12.75"/>
  <cols>
    <col min="1" max="1" width="6.77734375" style="428" bestFit="1" customWidth="1"/>
    <col min="2" max="2" width="25.88671875" style="428" customWidth="1"/>
    <col min="3" max="3" width="5.33203125" style="428" bestFit="1" customWidth="1"/>
    <col min="4" max="4" width="1.5546875" style="428" hidden="1" customWidth="1"/>
    <col min="5" max="5" width="11.109375" style="431" customWidth="1"/>
    <col min="6" max="6" width="1.33203125" style="432" customWidth="1"/>
    <col min="7" max="7" width="14.77734375" style="428" customWidth="1"/>
    <col min="8" max="8" width="9.109375" style="428" customWidth="1"/>
    <col min="9" max="9" width="12.21875" style="428" customWidth="1"/>
    <col min="10" max="10" width="15.33203125" style="428" customWidth="1"/>
    <col min="11" max="11" width="2.109375" style="428" customWidth="1"/>
    <col min="12" max="12" width="15.109375" style="428" customWidth="1"/>
    <col min="13" max="13" width="1.33203125" style="428" customWidth="1"/>
    <col min="14" max="14" width="8.21875" style="428" bestFit="1" customWidth="1"/>
    <col min="15" max="15" width="1.33203125" style="428" customWidth="1"/>
    <col min="16" max="16" width="11.77734375" style="428" bestFit="1" customWidth="1"/>
    <col min="17" max="17" width="1.77734375" style="444" customWidth="1"/>
    <col min="18" max="18" width="9.109375" style="428" customWidth="1"/>
    <col min="19" max="19" width="8.21875" style="428" bestFit="1" customWidth="1"/>
    <col min="20" max="20" width="9" style="428" customWidth="1"/>
    <col min="21" max="251" width="9.21875" style="428"/>
    <col min="252" max="252" width="7.21875" style="428" customWidth="1"/>
    <col min="253" max="253" width="25.88671875" style="428" customWidth="1"/>
    <col min="254" max="254" width="11.109375" style="428" customWidth="1"/>
    <col min="255" max="255" width="0" style="428" hidden="1" customWidth="1"/>
    <col min="256" max="256" width="11.109375" style="428" customWidth="1"/>
    <col min="257" max="257" width="1.33203125" style="428" customWidth="1"/>
    <col min="258" max="258" width="14.77734375" style="428" customWidth="1"/>
    <col min="259" max="259" width="9.109375" style="428" customWidth="1"/>
    <col min="260" max="260" width="12.21875" style="428" customWidth="1"/>
    <col min="261" max="261" width="15.33203125" style="428" customWidth="1"/>
    <col min="262" max="262" width="2.109375" style="428" customWidth="1"/>
    <col min="263" max="263" width="15.109375" style="428" customWidth="1"/>
    <col min="264" max="264" width="14.21875" style="428" customWidth="1"/>
    <col min="265" max="265" width="1.33203125" style="428" customWidth="1"/>
    <col min="266" max="266" width="14.109375" style="428" customWidth="1"/>
    <col min="267" max="267" width="1.33203125" style="428" customWidth="1"/>
    <col min="268" max="268" width="14.109375" style="428" customWidth="1"/>
    <col min="269" max="269" width="1.33203125" style="428" customWidth="1"/>
    <col min="270" max="270" width="12.21875" style="428" customWidth="1"/>
    <col min="271" max="507" width="9.21875" style="428"/>
    <col min="508" max="508" width="7.21875" style="428" customWidth="1"/>
    <col min="509" max="509" width="25.88671875" style="428" customWidth="1"/>
    <col min="510" max="510" width="11.109375" style="428" customWidth="1"/>
    <col min="511" max="511" width="0" style="428" hidden="1" customWidth="1"/>
    <col min="512" max="512" width="11.109375" style="428" customWidth="1"/>
    <col min="513" max="513" width="1.33203125" style="428" customWidth="1"/>
    <col min="514" max="514" width="14.77734375" style="428" customWidth="1"/>
    <col min="515" max="515" width="9.109375" style="428" customWidth="1"/>
    <col min="516" max="516" width="12.21875" style="428" customWidth="1"/>
    <col min="517" max="517" width="15.33203125" style="428" customWidth="1"/>
    <col min="518" max="518" width="2.109375" style="428" customWidth="1"/>
    <col min="519" max="519" width="15.109375" style="428" customWidth="1"/>
    <col min="520" max="520" width="14.21875" style="428" customWidth="1"/>
    <col min="521" max="521" width="1.33203125" style="428" customWidth="1"/>
    <col min="522" max="522" width="14.109375" style="428" customWidth="1"/>
    <col min="523" max="523" width="1.33203125" style="428" customWidth="1"/>
    <col min="524" max="524" width="14.109375" style="428" customWidth="1"/>
    <col min="525" max="525" width="1.33203125" style="428" customWidth="1"/>
    <col min="526" max="526" width="12.21875" style="428" customWidth="1"/>
    <col min="527" max="763" width="9.21875" style="428"/>
    <col min="764" max="764" width="7.21875" style="428" customWidth="1"/>
    <col min="765" max="765" width="25.88671875" style="428" customWidth="1"/>
    <col min="766" max="766" width="11.109375" style="428" customWidth="1"/>
    <col min="767" max="767" width="0" style="428" hidden="1" customWidth="1"/>
    <col min="768" max="768" width="11.109375" style="428" customWidth="1"/>
    <col min="769" max="769" width="1.33203125" style="428" customWidth="1"/>
    <col min="770" max="770" width="14.77734375" style="428" customWidth="1"/>
    <col min="771" max="771" width="9.109375" style="428" customWidth="1"/>
    <col min="772" max="772" width="12.21875" style="428" customWidth="1"/>
    <col min="773" max="773" width="15.33203125" style="428" customWidth="1"/>
    <col min="774" max="774" width="2.109375" style="428" customWidth="1"/>
    <col min="775" max="775" width="15.109375" style="428" customWidth="1"/>
    <col min="776" max="776" width="14.21875" style="428" customWidth="1"/>
    <col min="777" max="777" width="1.33203125" style="428" customWidth="1"/>
    <col min="778" max="778" width="14.109375" style="428" customWidth="1"/>
    <col min="779" max="779" width="1.33203125" style="428" customWidth="1"/>
    <col min="780" max="780" width="14.109375" style="428" customWidth="1"/>
    <col min="781" max="781" width="1.33203125" style="428" customWidth="1"/>
    <col min="782" max="782" width="12.21875" style="428" customWidth="1"/>
    <col min="783" max="1019" width="9.21875" style="428"/>
    <col min="1020" max="1020" width="7.21875" style="428" customWidth="1"/>
    <col min="1021" max="1021" width="25.88671875" style="428" customWidth="1"/>
    <col min="1022" max="1022" width="11.109375" style="428" customWidth="1"/>
    <col min="1023" max="1023" width="0" style="428" hidden="1" customWidth="1"/>
    <col min="1024" max="1024" width="11.109375" style="428" customWidth="1"/>
    <col min="1025" max="1025" width="1.33203125" style="428" customWidth="1"/>
    <col min="1026" max="1026" width="14.77734375" style="428" customWidth="1"/>
    <col min="1027" max="1027" width="9.109375" style="428" customWidth="1"/>
    <col min="1028" max="1028" width="12.21875" style="428" customWidth="1"/>
    <col min="1029" max="1029" width="15.33203125" style="428" customWidth="1"/>
    <col min="1030" max="1030" width="2.109375" style="428" customWidth="1"/>
    <col min="1031" max="1031" width="15.109375" style="428" customWidth="1"/>
    <col min="1032" max="1032" width="14.21875" style="428" customWidth="1"/>
    <col min="1033" max="1033" width="1.33203125" style="428" customWidth="1"/>
    <col min="1034" max="1034" width="14.109375" style="428" customWidth="1"/>
    <col min="1035" max="1035" width="1.33203125" style="428" customWidth="1"/>
    <col min="1036" max="1036" width="14.109375" style="428" customWidth="1"/>
    <col min="1037" max="1037" width="1.33203125" style="428" customWidth="1"/>
    <col min="1038" max="1038" width="12.21875" style="428" customWidth="1"/>
    <col min="1039" max="1275" width="9.21875" style="428"/>
    <col min="1276" max="1276" width="7.21875" style="428" customWidth="1"/>
    <col min="1277" max="1277" width="25.88671875" style="428" customWidth="1"/>
    <col min="1278" max="1278" width="11.109375" style="428" customWidth="1"/>
    <col min="1279" max="1279" width="0" style="428" hidden="1" customWidth="1"/>
    <col min="1280" max="1280" width="11.109375" style="428" customWidth="1"/>
    <col min="1281" max="1281" width="1.33203125" style="428" customWidth="1"/>
    <col min="1282" max="1282" width="14.77734375" style="428" customWidth="1"/>
    <col min="1283" max="1283" width="9.109375" style="428" customWidth="1"/>
    <col min="1284" max="1284" width="12.21875" style="428" customWidth="1"/>
    <col min="1285" max="1285" width="15.33203125" style="428" customWidth="1"/>
    <col min="1286" max="1286" width="2.109375" style="428" customWidth="1"/>
    <col min="1287" max="1287" width="15.109375" style="428" customWidth="1"/>
    <col min="1288" max="1288" width="14.21875" style="428" customWidth="1"/>
    <col min="1289" max="1289" width="1.33203125" style="428" customWidth="1"/>
    <col min="1290" max="1290" width="14.109375" style="428" customWidth="1"/>
    <col min="1291" max="1291" width="1.33203125" style="428" customWidth="1"/>
    <col min="1292" max="1292" width="14.109375" style="428" customWidth="1"/>
    <col min="1293" max="1293" width="1.33203125" style="428" customWidth="1"/>
    <col min="1294" max="1294" width="12.21875" style="428" customWidth="1"/>
    <col min="1295" max="1531" width="9.21875" style="428"/>
    <col min="1532" max="1532" width="7.21875" style="428" customWidth="1"/>
    <col min="1533" max="1533" width="25.88671875" style="428" customWidth="1"/>
    <col min="1534" max="1534" width="11.109375" style="428" customWidth="1"/>
    <col min="1535" max="1535" width="0" style="428" hidden="1" customWidth="1"/>
    <col min="1536" max="1536" width="11.109375" style="428" customWidth="1"/>
    <col min="1537" max="1537" width="1.33203125" style="428" customWidth="1"/>
    <col min="1538" max="1538" width="14.77734375" style="428" customWidth="1"/>
    <col min="1539" max="1539" width="9.109375" style="428" customWidth="1"/>
    <col min="1540" max="1540" width="12.21875" style="428" customWidth="1"/>
    <col min="1541" max="1541" width="15.33203125" style="428" customWidth="1"/>
    <col min="1542" max="1542" width="2.109375" style="428" customWidth="1"/>
    <col min="1543" max="1543" width="15.109375" style="428" customWidth="1"/>
    <col min="1544" max="1544" width="14.21875" style="428" customWidth="1"/>
    <col min="1545" max="1545" width="1.33203125" style="428" customWidth="1"/>
    <col min="1546" max="1546" width="14.109375" style="428" customWidth="1"/>
    <col min="1547" max="1547" width="1.33203125" style="428" customWidth="1"/>
    <col min="1548" max="1548" width="14.109375" style="428" customWidth="1"/>
    <col min="1549" max="1549" width="1.33203125" style="428" customWidth="1"/>
    <col min="1550" max="1550" width="12.21875" style="428" customWidth="1"/>
    <col min="1551" max="1787" width="9.21875" style="428"/>
    <col min="1788" max="1788" width="7.21875" style="428" customWidth="1"/>
    <col min="1789" max="1789" width="25.88671875" style="428" customWidth="1"/>
    <col min="1790" max="1790" width="11.109375" style="428" customWidth="1"/>
    <col min="1791" max="1791" width="0" style="428" hidden="1" customWidth="1"/>
    <col min="1792" max="1792" width="11.109375" style="428" customWidth="1"/>
    <col min="1793" max="1793" width="1.33203125" style="428" customWidth="1"/>
    <col min="1794" max="1794" width="14.77734375" style="428" customWidth="1"/>
    <col min="1795" max="1795" width="9.109375" style="428" customWidth="1"/>
    <col min="1796" max="1796" width="12.21875" style="428" customWidth="1"/>
    <col min="1797" max="1797" width="15.33203125" style="428" customWidth="1"/>
    <col min="1798" max="1798" width="2.109375" style="428" customWidth="1"/>
    <col min="1799" max="1799" width="15.109375" style="428" customWidth="1"/>
    <col min="1800" max="1800" width="14.21875" style="428" customWidth="1"/>
    <col min="1801" max="1801" width="1.33203125" style="428" customWidth="1"/>
    <col min="1802" max="1802" width="14.109375" style="428" customWidth="1"/>
    <col min="1803" max="1803" width="1.33203125" style="428" customWidth="1"/>
    <col min="1804" max="1804" width="14.109375" style="428" customWidth="1"/>
    <col min="1805" max="1805" width="1.33203125" style="428" customWidth="1"/>
    <col min="1806" max="1806" width="12.21875" style="428" customWidth="1"/>
    <col min="1807" max="2043" width="9.21875" style="428"/>
    <col min="2044" max="2044" width="7.21875" style="428" customWidth="1"/>
    <col min="2045" max="2045" width="25.88671875" style="428" customWidth="1"/>
    <col min="2046" max="2046" width="11.109375" style="428" customWidth="1"/>
    <col min="2047" max="2047" width="0" style="428" hidden="1" customWidth="1"/>
    <col min="2048" max="2048" width="11.109375" style="428" customWidth="1"/>
    <col min="2049" max="2049" width="1.33203125" style="428" customWidth="1"/>
    <col min="2050" max="2050" width="14.77734375" style="428" customWidth="1"/>
    <col min="2051" max="2051" width="9.109375" style="428" customWidth="1"/>
    <col min="2052" max="2052" width="12.21875" style="428" customWidth="1"/>
    <col min="2053" max="2053" width="15.33203125" style="428" customWidth="1"/>
    <col min="2054" max="2054" width="2.109375" style="428" customWidth="1"/>
    <col min="2055" max="2055" width="15.109375" style="428" customWidth="1"/>
    <col min="2056" max="2056" width="14.21875" style="428" customWidth="1"/>
    <col min="2057" max="2057" width="1.33203125" style="428" customWidth="1"/>
    <col min="2058" max="2058" width="14.109375" style="428" customWidth="1"/>
    <col min="2059" max="2059" width="1.33203125" style="428" customWidth="1"/>
    <col min="2060" max="2060" width="14.109375" style="428" customWidth="1"/>
    <col min="2061" max="2061" width="1.33203125" style="428" customWidth="1"/>
    <col min="2062" max="2062" width="12.21875" style="428" customWidth="1"/>
    <col min="2063" max="2299" width="9.21875" style="428"/>
    <col min="2300" max="2300" width="7.21875" style="428" customWidth="1"/>
    <col min="2301" max="2301" width="25.88671875" style="428" customWidth="1"/>
    <col min="2302" max="2302" width="11.109375" style="428" customWidth="1"/>
    <col min="2303" max="2303" width="0" style="428" hidden="1" customWidth="1"/>
    <col min="2304" max="2304" width="11.109375" style="428" customWidth="1"/>
    <col min="2305" max="2305" width="1.33203125" style="428" customWidth="1"/>
    <col min="2306" max="2306" width="14.77734375" style="428" customWidth="1"/>
    <col min="2307" max="2307" width="9.109375" style="428" customWidth="1"/>
    <col min="2308" max="2308" width="12.21875" style="428" customWidth="1"/>
    <col min="2309" max="2309" width="15.33203125" style="428" customWidth="1"/>
    <col min="2310" max="2310" width="2.109375" style="428" customWidth="1"/>
    <col min="2311" max="2311" width="15.109375" style="428" customWidth="1"/>
    <col min="2312" max="2312" width="14.21875" style="428" customWidth="1"/>
    <col min="2313" max="2313" width="1.33203125" style="428" customWidth="1"/>
    <col min="2314" max="2314" width="14.109375" style="428" customWidth="1"/>
    <col min="2315" max="2315" width="1.33203125" style="428" customWidth="1"/>
    <col min="2316" max="2316" width="14.109375" style="428" customWidth="1"/>
    <col min="2317" max="2317" width="1.33203125" style="428" customWidth="1"/>
    <col min="2318" max="2318" width="12.21875" style="428" customWidth="1"/>
    <col min="2319" max="2555" width="9.21875" style="428"/>
    <col min="2556" max="2556" width="7.21875" style="428" customWidth="1"/>
    <col min="2557" max="2557" width="25.88671875" style="428" customWidth="1"/>
    <col min="2558" max="2558" width="11.109375" style="428" customWidth="1"/>
    <col min="2559" max="2559" width="0" style="428" hidden="1" customWidth="1"/>
    <col min="2560" max="2560" width="11.109375" style="428" customWidth="1"/>
    <col min="2561" max="2561" width="1.33203125" style="428" customWidth="1"/>
    <col min="2562" max="2562" width="14.77734375" style="428" customWidth="1"/>
    <col min="2563" max="2563" width="9.109375" style="428" customWidth="1"/>
    <col min="2564" max="2564" width="12.21875" style="428" customWidth="1"/>
    <col min="2565" max="2565" width="15.33203125" style="428" customWidth="1"/>
    <col min="2566" max="2566" width="2.109375" style="428" customWidth="1"/>
    <col min="2567" max="2567" width="15.109375" style="428" customWidth="1"/>
    <col min="2568" max="2568" width="14.21875" style="428" customWidth="1"/>
    <col min="2569" max="2569" width="1.33203125" style="428" customWidth="1"/>
    <col min="2570" max="2570" width="14.109375" style="428" customWidth="1"/>
    <col min="2571" max="2571" width="1.33203125" style="428" customWidth="1"/>
    <col min="2572" max="2572" width="14.109375" style="428" customWidth="1"/>
    <col min="2573" max="2573" width="1.33203125" style="428" customWidth="1"/>
    <col min="2574" max="2574" width="12.21875" style="428" customWidth="1"/>
    <col min="2575" max="2811" width="9.21875" style="428"/>
    <col min="2812" max="2812" width="7.21875" style="428" customWidth="1"/>
    <col min="2813" max="2813" width="25.88671875" style="428" customWidth="1"/>
    <col min="2814" max="2814" width="11.109375" style="428" customWidth="1"/>
    <col min="2815" max="2815" width="0" style="428" hidden="1" customWidth="1"/>
    <col min="2816" max="2816" width="11.109375" style="428" customWidth="1"/>
    <col min="2817" max="2817" width="1.33203125" style="428" customWidth="1"/>
    <col min="2818" max="2818" width="14.77734375" style="428" customWidth="1"/>
    <col min="2819" max="2819" width="9.109375" style="428" customWidth="1"/>
    <col min="2820" max="2820" width="12.21875" style="428" customWidth="1"/>
    <col min="2821" max="2821" width="15.33203125" style="428" customWidth="1"/>
    <col min="2822" max="2822" width="2.109375" style="428" customWidth="1"/>
    <col min="2823" max="2823" width="15.109375" style="428" customWidth="1"/>
    <col min="2824" max="2824" width="14.21875" style="428" customWidth="1"/>
    <col min="2825" max="2825" width="1.33203125" style="428" customWidth="1"/>
    <col min="2826" max="2826" width="14.109375" style="428" customWidth="1"/>
    <col min="2827" max="2827" width="1.33203125" style="428" customWidth="1"/>
    <col min="2828" max="2828" width="14.109375" style="428" customWidth="1"/>
    <col min="2829" max="2829" width="1.33203125" style="428" customWidth="1"/>
    <col min="2830" max="2830" width="12.21875" style="428" customWidth="1"/>
    <col min="2831" max="3067" width="9.21875" style="428"/>
    <col min="3068" max="3068" width="7.21875" style="428" customWidth="1"/>
    <col min="3069" max="3069" width="25.88671875" style="428" customWidth="1"/>
    <col min="3070" max="3070" width="11.109375" style="428" customWidth="1"/>
    <col min="3071" max="3071" width="0" style="428" hidden="1" customWidth="1"/>
    <col min="3072" max="3072" width="11.109375" style="428" customWidth="1"/>
    <col min="3073" max="3073" width="1.33203125" style="428" customWidth="1"/>
    <col min="3074" max="3074" width="14.77734375" style="428" customWidth="1"/>
    <col min="3075" max="3075" width="9.109375" style="428" customWidth="1"/>
    <col min="3076" max="3076" width="12.21875" style="428" customWidth="1"/>
    <col min="3077" max="3077" width="15.33203125" style="428" customWidth="1"/>
    <col min="3078" max="3078" width="2.109375" style="428" customWidth="1"/>
    <col min="3079" max="3079" width="15.109375" style="428" customWidth="1"/>
    <col min="3080" max="3080" width="14.21875" style="428" customWidth="1"/>
    <col min="3081" max="3081" width="1.33203125" style="428" customWidth="1"/>
    <col min="3082" max="3082" width="14.109375" style="428" customWidth="1"/>
    <col min="3083" max="3083" width="1.33203125" style="428" customWidth="1"/>
    <col min="3084" max="3084" width="14.109375" style="428" customWidth="1"/>
    <col min="3085" max="3085" width="1.33203125" style="428" customWidth="1"/>
    <col min="3086" max="3086" width="12.21875" style="428" customWidth="1"/>
    <col min="3087" max="3323" width="9.21875" style="428"/>
    <col min="3324" max="3324" width="7.21875" style="428" customWidth="1"/>
    <col min="3325" max="3325" width="25.88671875" style="428" customWidth="1"/>
    <col min="3326" max="3326" width="11.109375" style="428" customWidth="1"/>
    <col min="3327" max="3327" width="0" style="428" hidden="1" customWidth="1"/>
    <col min="3328" max="3328" width="11.109375" style="428" customWidth="1"/>
    <col min="3329" max="3329" width="1.33203125" style="428" customWidth="1"/>
    <col min="3330" max="3330" width="14.77734375" style="428" customWidth="1"/>
    <col min="3331" max="3331" width="9.109375" style="428" customWidth="1"/>
    <col min="3332" max="3332" width="12.21875" style="428" customWidth="1"/>
    <col min="3333" max="3333" width="15.33203125" style="428" customWidth="1"/>
    <col min="3334" max="3334" width="2.109375" style="428" customWidth="1"/>
    <col min="3335" max="3335" width="15.109375" style="428" customWidth="1"/>
    <col min="3336" max="3336" width="14.21875" style="428" customWidth="1"/>
    <col min="3337" max="3337" width="1.33203125" style="428" customWidth="1"/>
    <col min="3338" max="3338" width="14.109375" style="428" customWidth="1"/>
    <col min="3339" max="3339" width="1.33203125" style="428" customWidth="1"/>
    <col min="3340" max="3340" width="14.109375" style="428" customWidth="1"/>
    <col min="3341" max="3341" width="1.33203125" style="428" customWidth="1"/>
    <col min="3342" max="3342" width="12.21875" style="428" customWidth="1"/>
    <col min="3343" max="3579" width="9.21875" style="428"/>
    <col min="3580" max="3580" width="7.21875" style="428" customWidth="1"/>
    <col min="3581" max="3581" width="25.88671875" style="428" customWidth="1"/>
    <col min="3582" max="3582" width="11.109375" style="428" customWidth="1"/>
    <col min="3583" max="3583" width="0" style="428" hidden="1" customWidth="1"/>
    <col min="3584" max="3584" width="11.109375" style="428" customWidth="1"/>
    <col min="3585" max="3585" width="1.33203125" style="428" customWidth="1"/>
    <col min="3586" max="3586" width="14.77734375" style="428" customWidth="1"/>
    <col min="3587" max="3587" width="9.109375" style="428" customWidth="1"/>
    <col min="3588" max="3588" width="12.21875" style="428" customWidth="1"/>
    <col min="3589" max="3589" width="15.33203125" style="428" customWidth="1"/>
    <col min="3590" max="3590" width="2.109375" style="428" customWidth="1"/>
    <col min="3591" max="3591" width="15.109375" style="428" customWidth="1"/>
    <col min="3592" max="3592" width="14.21875" style="428" customWidth="1"/>
    <col min="3593" max="3593" width="1.33203125" style="428" customWidth="1"/>
    <col min="3594" max="3594" width="14.109375" style="428" customWidth="1"/>
    <col min="3595" max="3595" width="1.33203125" style="428" customWidth="1"/>
    <col min="3596" max="3596" width="14.109375" style="428" customWidth="1"/>
    <col min="3597" max="3597" width="1.33203125" style="428" customWidth="1"/>
    <col min="3598" max="3598" width="12.21875" style="428" customWidth="1"/>
    <col min="3599" max="3835" width="9.21875" style="428"/>
    <col min="3836" max="3836" width="7.21875" style="428" customWidth="1"/>
    <col min="3837" max="3837" width="25.88671875" style="428" customWidth="1"/>
    <col min="3838" max="3838" width="11.109375" style="428" customWidth="1"/>
    <col min="3839" max="3839" width="0" style="428" hidden="1" customWidth="1"/>
    <col min="3840" max="3840" width="11.109375" style="428" customWidth="1"/>
    <col min="3841" max="3841" width="1.33203125" style="428" customWidth="1"/>
    <col min="3842" max="3842" width="14.77734375" style="428" customWidth="1"/>
    <col min="3843" max="3843" width="9.109375" style="428" customWidth="1"/>
    <col min="3844" max="3844" width="12.21875" style="428" customWidth="1"/>
    <col min="3845" max="3845" width="15.33203125" style="428" customWidth="1"/>
    <col min="3846" max="3846" width="2.109375" style="428" customWidth="1"/>
    <col min="3847" max="3847" width="15.109375" style="428" customWidth="1"/>
    <col min="3848" max="3848" width="14.21875" style="428" customWidth="1"/>
    <col min="3849" max="3849" width="1.33203125" style="428" customWidth="1"/>
    <col min="3850" max="3850" width="14.109375" style="428" customWidth="1"/>
    <col min="3851" max="3851" width="1.33203125" style="428" customWidth="1"/>
    <col min="3852" max="3852" width="14.109375" style="428" customWidth="1"/>
    <col min="3853" max="3853" width="1.33203125" style="428" customWidth="1"/>
    <col min="3854" max="3854" width="12.21875" style="428" customWidth="1"/>
    <col min="3855" max="4091" width="9.21875" style="428"/>
    <col min="4092" max="4092" width="7.21875" style="428" customWidth="1"/>
    <col min="4093" max="4093" width="25.88671875" style="428" customWidth="1"/>
    <col min="4094" max="4094" width="11.109375" style="428" customWidth="1"/>
    <col min="4095" max="4095" width="0" style="428" hidden="1" customWidth="1"/>
    <col min="4096" max="4096" width="11.109375" style="428" customWidth="1"/>
    <col min="4097" max="4097" width="1.33203125" style="428" customWidth="1"/>
    <col min="4098" max="4098" width="14.77734375" style="428" customWidth="1"/>
    <col min="4099" max="4099" width="9.109375" style="428" customWidth="1"/>
    <col min="4100" max="4100" width="12.21875" style="428" customWidth="1"/>
    <col min="4101" max="4101" width="15.33203125" style="428" customWidth="1"/>
    <col min="4102" max="4102" width="2.109375" style="428" customWidth="1"/>
    <col min="4103" max="4103" width="15.109375" style="428" customWidth="1"/>
    <col min="4104" max="4104" width="14.21875" style="428" customWidth="1"/>
    <col min="4105" max="4105" width="1.33203125" style="428" customWidth="1"/>
    <col min="4106" max="4106" width="14.109375" style="428" customWidth="1"/>
    <col min="4107" max="4107" width="1.33203125" style="428" customWidth="1"/>
    <col min="4108" max="4108" width="14.109375" style="428" customWidth="1"/>
    <col min="4109" max="4109" width="1.33203125" style="428" customWidth="1"/>
    <col min="4110" max="4110" width="12.21875" style="428" customWidth="1"/>
    <col min="4111" max="4347" width="9.21875" style="428"/>
    <col min="4348" max="4348" width="7.21875" style="428" customWidth="1"/>
    <col min="4349" max="4349" width="25.88671875" style="428" customWidth="1"/>
    <col min="4350" max="4350" width="11.109375" style="428" customWidth="1"/>
    <col min="4351" max="4351" width="0" style="428" hidden="1" customWidth="1"/>
    <col min="4352" max="4352" width="11.109375" style="428" customWidth="1"/>
    <col min="4353" max="4353" width="1.33203125" style="428" customWidth="1"/>
    <col min="4354" max="4354" width="14.77734375" style="428" customWidth="1"/>
    <col min="4355" max="4355" width="9.109375" style="428" customWidth="1"/>
    <col min="4356" max="4356" width="12.21875" style="428" customWidth="1"/>
    <col min="4357" max="4357" width="15.33203125" style="428" customWidth="1"/>
    <col min="4358" max="4358" width="2.109375" style="428" customWidth="1"/>
    <col min="4359" max="4359" width="15.109375" style="428" customWidth="1"/>
    <col min="4360" max="4360" width="14.21875" style="428" customWidth="1"/>
    <col min="4361" max="4361" width="1.33203125" style="428" customWidth="1"/>
    <col min="4362" max="4362" width="14.109375" style="428" customWidth="1"/>
    <col min="4363" max="4363" width="1.33203125" style="428" customWidth="1"/>
    <col min="4364" max="4364" width="14.109375" style="428" customWidth="1"/>
    <col min="4365" max="4365" width="1.33203125" style="428" customWidth="1"/>
    <col min="4366" max="4366" width="12.21875" style="428" customWidth="1"/>
    <col min="4367" max="4603" width="9.21875" style="428"/>
    <col min="4604" max="4604" width="7.21875" style="428" customWidth="1"/>
    <col min="4605" max="4605" width="25.88671875" style="428" customWidth="1"/>
    <col min="4606" max="4606" width="11.109375" style="428" customWidth="1"/>
    <col min="4607" max="4607" width="0" style="428" hidden="1" customWidth="1"/>
    <col min="4608" max="4608" width="11.109375" style="428" customWidth="1"/>
    <col min="4609" max="4609" width="1.33203125" style="428" customWidth="1"/>
    <col min="4610" max="4610" width="14.77734375" style="428" customWidth="1"/>
    <col min="4611" max="4611" width="9.109375" style="428" customWidth="1"/>
    <col min="4612" max="4612" width="12.21875" style="428" customWidth="1"/>
    <col min="4613" max="4613" width="15.33203125" style="428" customWidth="1"/>
    <col min="4614" max="4614" width="2.109375" style="428" customWidth="1"/>
    <col min="4615" max="4615" width="15.109375" style="428" customWidth="1"/>
    <col min="4616" max="4616" width="14.21875" style="428" customWidth="1"/>
    <col min="4617" max="4617" width="1.33203125" style="428" customWidth="1"/>
    <col min="4618" max="4618" width="14.109375" style="428" customWidth="1"/>
    <col min="4619" max="4619" width="1.33203125" style="428" customWidth="1"/>
    <col min="4620" max="4620" width="14.109375" style="428" customWidth="1"/>
    <col min="4621" max="4621" width="1.33203125" style="428" customWidth="1"/>
    <col min="4622" max="4622" width="12.21875" style="428" customWidth="1"/>
    <col min="4623" max="4859" width="9.21875" style="428"/>
    <col min="4860" max="4860" width="7.21875" style="428" customWidth="1"/>
    <col min="4861" max="4861" width="25.88671875" style="428" customWidth="1"/>
    <col min="4862" max="4862" width="11.109375" style="428" customWidth="1"/>
    <col min="4863" max="4863" width="0" style="428" hidden="1" customWidth="1"/>
    <col min="4864" max="4864" width="11.109375" style="428" customWidth="1"/>
    <col min="4865" max="4865" width="1.33203125" style="428" customWidth="1"/>
    <col min="4866" max="4866" width="14.77734375" style="428" customWidth="1"/>
    <col min="4867" max="4867" width="9.109375" style="428" customWidth="1"/>
    <col min="4868" max="4868" width="12.21875" style="428" customWidth="1"/>
    <col min="4869" max="4869" width="15.33203125" style="428" customWidth="1"/>
    <col min="4870" max="4870" width="2.109375" style="428" customWidth="1"/>
    <col min="4871" max="4871" width="15.109375" style="428" customWidth="1"/>
    <col min="4872" max="4872" width="14.21875" style="428" customWidth="1"/>
    <col min="4873" max="4873" width="1.33203125" style="428" customWidth="1"/>
    <col min="4874" max="4874" width="14.109375" style="428" customWidth="1"/>
    <col min="4875" max="4875" width="1.33203125" style="428" customWidth="1"/>
    <col min="4876" max="4876" width="14.109375" style="428" customWidth="1"/>
    <col min="4877" max="4877" width="1.33203125" style="428" customWidth="1"/>
    <col min="4878" max="4878" width="12.21875" style="428" customWidth="1"/>
    <col min="4879" max="5115" width="9.21875" style="428"/>
    <col min="5116" max="5116" width="7.21875" style="428" customWidth="1"/>
    <col min="5117" max="5117" width="25.88671875" style="428" customWidth="1"/>
    <col min="5118" max="5118" width="11.109375" style="428" customWidth="1"/>
    <col min="5119" max="5119" width="0" style="428" hidden="1" customWidth="1"/>
    <col min="5120" max="5120" width="11.109375" style="428" customWidth="1"/>
    <col min="5121" max="5121" width="1.33203125" style="428" customWidth="1"/>
    <col min="5122" max="5122" width="14.77734375" style="428" customWidth="1"/>
    <col min="5123" max="5123" width="9.109375" style="428" customWidth="1"/>
    <col min="5124" max="5124" width="12.21875" style="428" customWidth="1"/>
    <col min="5125" max="5125" width="15.33203125" style="428" customWidth="1"/>
    <col min="5126" max="5126" width="2.109375" style="428" customWidth="1"/>
    <col min="5127" max="5127" width="15.109375" style="428" customWidth="1"/>
    <col min="5128" max="5128" width="14.21875" style="428" customWidth="1"/>
    <col min="5129" max="5129" width="1.33203125" style="428" customWidth="1"/>
    <col min="5130" max="5130" width="14.109375" style="428" customWidth="1"/>
    <col min="5131" max="5131" width="1.33203125" style="428" customWidth="1"/>
    <col min="5132" max="5132" width="14.109375" style="428" customWidth="1"/>
    <col min="5133" max="5133" width="1.33203125" style="428" customWidth="1"/>
    <col min="5134" max="5134" width="12.21875" style="428" customWidth="1"/>
    <col min="5135" max="5371" width="9.21875" style="428"/>
    <col min="5372" max="5372" width="7.21875" style="428" customWidth="1"/>
    <col min="5373" max="5373" width="25.88671875" style="428" customWidth="1"/>
    <col min="5374" max="5374" width="11.109375" style="428" customWidth="1"/>
    <col min="5375" max="5375" width="0" style="428" hidden="1" customWidth="1"/>
    <col min="5376" max="5376" width="11.109375" style="428" customWidth="1"/>
    <col min="5377" max="5377" width="1.33203125" style="428" customWidth="1"/>
    <col min="5378" max="5378" width="14.77734375" style="428" customWidth="1"/>
    <col min="5379" max="5379" width="9.109375" style="428" customWidth="1"/>
    <col min="5380" max="5380" width="12.21875" style="428" customWidth="1"/>
    <col min="5381" max="5381" width="15.33203125" style="428" customWidth="1"/>
    <col min="5382" max="5382" width="2.109375" style="428" customWidth="1"/>
    <col min="5383" max="5383" width="15.109375" style="428" customWidth="1"/>
    <col min="5384" max="5384" width="14.21875" style="428" customWidth="1"/>
    <col min="5385" max="5385" width="1.33203125" style="428" customWidth="1"/>
    <col min="5386" max="5386" width="14.109375" style="428" customWidth="1"/>
    <col min="5387" max="5387" width="1.33203125" style="428" customWidth="1"/>
    <col min="5388" max="5388" width="14.109375" style="428" customWidth="1"/>
    <col min="5389" max="5389" width="1.33203125" style="428" customWidth="1"/>
    <col min="5390" max="5390" width="12.21875" style="428" customWidth="1"/>
    <col min="5391" max="5627" width="9.21875" style="428"/>
    <col min="5628" max="5628" width="7.21875" style="428" customWidth="1"/>
    <col min="5629" max="5629" width="25.88671875" style="428" customWidth="1"/>
    <col min="5630" max="5630" width="11.109375" style="428" customWidth="1"/>
    <col min="5631" max="5631" width="0" style="428" hidden="1" customWidth="1"/>
    <col min="5632" max="5632" width="11.109375" style="428" customWidth="1"/>
    <col min="5633" max="5633" width="1.33203125" style="428" customWidth="1"/>
    <col min="5634" max="5634" width="14.77734375" style="428" customWidth="1"/>
    <col min="5635" max="5635" width="9.109375" style="428" customWidth="1"/>
    <col min="5636" max="5636" width="12.21875" style="428" customWidth="1"/>
    <col min="5637" max="5637" width="15.33203125" style="428" customWidth="1"/>
    <col min="5638" max="5638" width="2.109375" style="428" customWidth="1"/>
    <col min="5639" max="5639" width="15.109375" style="428" customWidth="1"/>
    <col min="5640" max="5640" width="14.21875" style="428" customWidth="1"/>
    <col min="5641" max="5641" width="1.33203125" style="428" customWidth="1"/>
    <col min="5642" max="5642" width="14.109375" style="428" customWidth="1"/>
    <col min="5643" max="5643" width="1.33203125" style="428" customWidth="1"/>
    <col min="5644" max="5644" width="14.109375" style="428" customWidth="1"/>
    <col min="5645" max="5645" width="1.33203125" style="428" customWidth="1"/>
    <col min="5646" max="5646" width="12.21875" style="428" customWidth="1"/>
    <col min="5647" max="5883" width="9.21875" style="428"/>
    <col min="5884" max="5884" width="7.21875" style="428" customWidth="1"/>
    <col min="5885" max="5885" width="25.88671875" style="428" customWidth="1"/>
    <col min="5886" max="5886" width="11.109375" style="428" customWidth="1"/>
    <col min="5887" max="5887" width="0" style="428" hidden="1" customWidth="1"/>
    <col min="5888" max="5888" width="11.109375" style="428" customWidth="1"/>
    <col min="5889" max="5889" width="1.33203125" style="428" customWidth="1"/>
    <col min="5890" max="5890" width="14.77734375" style="428" customWidth="1"/>
    <col min="5891" max="5891" width="9.109375" style="428" customWidth="1"/>
    <col min="5892" max="5892" width="12.21875" style="428" customWidth="1"/>
    <col min="5893" max="5893" width="15.33203125" style="428" customWidth="1"/>
    <col min="5894" max="5894" width="2.109375" style="428" customWidth="1"/>
    <col min="5895" max="5895" width="15.109375" style="428" customWidth="1"/>
    <col min="5896" max="5896" width="14.21875" style="428" customWidth="1"/>
    <col min="5897" max="5897" width="1.33203125" style="428" customWidth="1"/>
    <col min="5898" max="5898" width="14.109375" style="428" customWidth="1"/>
    <col min="5899" max="5899" width="1.33203125" style="428" customWidth="1"/>
    <col min="5900" max="5900" width="14.109375" style="428" customWidth="1"/>
    <col min="5901" max="5901" width="1.33203125" style="428" customWidth="1"/>
    <col min="5902" max="5902" width="12.21875" style="428" customWidth="1"/>
    <col min="5903" max="6139" width="9.21875" style="428"/>
    <col min="6140" max="6140" width="7.21875" style="428" customWidth="1"/>
    <col min="6141" max="6141" width="25.88671875" style="428" customWidth="1"/>
    <col min="6142" max="6142" width="11.109375" style="428" customWidth="1"/>
    <col min="6143" max="6143" width="0" style="428" hidden="1" customWidth="1"/>
    <col min="6144" max="6144" width="11.109375" style="428" customWidth="1"/>
    <col min="6145" max="6145" width="1.33203125" style="428" customWidth="1"/>
    <col min="6146" max="6146" width="14.77734375" style="428" customWidth="1"/>
    <col min="6147" max="6147" width="9.109375" style="428" customWidth="1"/>
    <col min="6148" max="6148" width="12.21875" style="428" customWidth="1"/>
    <col min="6149" max="6149" width="15.33203125" style="428" customWidth="1"/>
    <col min="6150" max="6150" width="2.109375" style="428" customWidth="1"/>
    <col min="6151" max="6151" width="15.109375" style="428" customWidth="1"/>
    <col min="6152" max="6152" width="14.21875" style="428" customWidth="1"/>
    <col min="6153" max="6153" width="1.33203125" style="428" customWidth="1"/>
    <col min="6154" max="6154" width="14.109375" style="428" customWidth="1"/>
    <col min="6155" max="6155" width="1.33203125" style="428" customWidth="1"/>
    <col min="6156" max="6156" width="14.109375" style="428" customWidth="1"/>
    <col min="6157" max="6157" width="1.33203125" style="428" customWidth="1"/>
    <col min="6158" max="6158" width="12.21875" style="428" customWidth="1"/>
    <col min="6159" max="6395" width="9.21875" style="428"/>
    <col min="6396" max="6396" width="7.21875" style="428" customWidth="1"/>
    <col min="6397" max="6397" width="25.88671875" style="428" customWidth="1"/>
    <col min="6398" max="6398" width="11.109375" style="428" customWidth="1"/>
    <col min="6399" max="6399" width="0" style="428" hidden="1" customWidth="1"/>
    <col min="6400" max="6400" width="11.109375" style="428" customWidth="1"/>
    <col min="6401" max="6401" width="1.33203125" style="428" customWidth="1"/>
    <col min="6402" max="6402" width="14.77734375" style="428" customWidth="1"/>
    <col min="6403" max="6403" width="9.109375" style="428" customWidth="1"/>
    <col min="6404" max="6404" width="12.21875" style="428" customWidth="1"/>
    <col min="6405" max="6405" width="15.33203125" style="428" customWidth="1"/>
    <col min="6406" max="6406" width="2.109375" style="428" customWidth="1"/>
    <col min="6407" max="6407" width="15.109375" style="428" customWidth="1"/>
    <col min="6408" max="6408" width="14.21875" style="428" customWidth="1"/>
    <col min="6409" max="6409" width="1.33203125" style="428" customWidth="1"/>
    <col min="6410" max="6410" width="14.109375" style="428" customWidth="1"/>
    <col min="6411" max="6411" width="1.33203125" style="428" customWidth="1"/>
    <col min="6412" max="6412" width="14.109375" style="428" customWidth="1"/>
    <col min="6413" max="6413" width="1.33203125" style="428" customWidth="1"/>
    <col min="6414" max="6414" width="12.21875" style="428" customWidth="1"/>
    <col min="6415" max="6651" width="9.21875" style="428"/>
    <col min="6652" max="6652" width="7.21875" style="428" customWidth="1"/>
    <col min="6653" max="6653" width="25.88671875" style="428" customWidth="1"/>
    <col min="6654" max="6654" width="11.109375" style="428" customWidth="1"/>
    <col min="6655" max="6655" width="0" style="428" hidden="1" customWidth="1"/>
    <col min="6656" max="6656" width="11.109375" style="428" customWidth="1"/>
    <col min="6657" max="6657" width="1.33203125" style="428" customWidth="1"/>
    <col min="6658" max="6658" width="14.77734375" style="428" customWidth="1"/>
    <col min="6659" max="6659" width="9.109375" style="428" customWidth="1"/>
    <col min="6660" max="6660" width="12.21875" style="428" customWidth="1"/>
    <col min="6661" max="6661" width="15.33203125" style="428" customWidth="1"/>
    <col min="6662" max="6662" width="2.109375" style="428" customWidth="1"/>
    <col min="6663" max="6663" width="15.109375" style="428" customWidth="1"/>
    <col min="6664" max="6664" width="14.21875" style="428" customWidth="1"/>
    <col min="6665" max="6665" width="1.33203125" style="428" customWidth="1"/>
    <col min="6666" max="6666" width="14.109375" style="428" customWidth="1"/>
    <col min="6667" max="6667" width="1.33203125" style="428" customWidth="1"/>
    <col min="6668" max="6668" width="14.109375" style="428" customWidth="1"/>
    <col min="6669" max="6669" width="1.33203125" style="428" customWidth="1"/>
    <col min="6670" max="6670" width="12.21875" style="428" customWidth="1"/>
    <col min="6671" max="6907" width="9.21875" style="428"/>
    <col min="6908" max="6908" width="7.21875" style="428" customWidth="1"/>
    <col min="6909" max="6909" width="25.88671875" style="428" customWidth="1"/>
    <col min="6910" max="6910" width="11.109375" style="428" customWidth="1"/>
    <col min="6911" max="6911" width="0" style="428" hidden="1" customWidth="1"/>
    <col min="6912" max="6912" width="11.109375" style="428" customWidth="1"/>
    <col min="6913" max="6913" width="1.33203125" style="428" customWidth="1"/>
    <col min="6914" max="6914" width="14.77734375" style="428" customWidth="1"/>
    <col min="6915" max="6915" width="9.109375" style="428" customWidth="1"/>
    <col min="6916" max="6916" width="12.21875" style="428" customWidth="1"/>
    <col min="6917" max="6917" width="15.33203125" style="428" customWidth="1"/>
    <col min="6918" max="6918" width="2.109375" style="428" customWidth="1"/>
    <col min="6919" max="6919" width="15.109375" style="428" customWidth="1"/>
    <col min="6920" max="6920" width="14.21875" style="428" customWidth="1"/>
    <col min="6921" max="6921" width="1.33203125" style="428" customWidth="1"/>
    <col min="6922" max="6922" width="14.109375" style="428" customWidth="1"/>
    <col min="6923" max="6923" width="1.33203125" style="428" customWidth="1"/>
    <col min="6924" max="6924" width="14.109375" style="428" customWidth="1"/>
    <col min="6925" max="6925" width="1.33203125" style="428" customWidth="1"/>
    <col min="6926" max="6926" width="12.21875" style="428" customWidth="1"/>
    <col min="6927" max="7163" width="9.21875" style="428"/>
    <col min="7164" max="7164" width="7.21875" style="428" customWidth="1"/>
    <col min="7165" max="7165" width="25.88671875" style="428" customWidth="1"/>
    <col min="7166" max="7166" width="11.109375" style="428" customWidth="1"/>
    <col min="7167" max="7167" width="0" style="428" hidden="1" customWidth="1"/>
    <col min="7168" max="7168" width="11.109375" style="428" customWidth="1"/>
    <col min="7169" max="7169" width="1.33203125" style="428" customWidth="1"/>
    <col min="7170" max="7170" width="14.77734375" style="428" customWidth="1"/>
    <col min="7171" max="7171" width="9.109375" style="428" customWidth="1"/>
    <col min="7172" max="7172" width="12.21875" style="428" customWidth="1"/>
    <col min="7173" max="7173" width="15.33203125" style="428" customWidth="1"/>
    <col min="7174" max="7174" width="2.109375" style="428" customWidth="1"/>
    <col min="7175" max="7175" width="15.109375" style="428" customWidth="1"/>
    <col min="7176" max="7176" width="14.21875" style="428" customWidth="1"/>
    <col min="7177" max="7177" width="1.33203125" style="428" customWidth="1"/>
    <col min="7178" max="7178" width="14.109375" style="428" customWidth="1"/>
    <col min="7179" max="7179" width="1.33203125" style="428" customWidth="1"/>
    <col min="7180" max="7180" width="14.109375" style="428" customWidth="1"/>
    <col min="7181" max="7181" width="1.33203125" style="428" customWidth="1"/>
    <col min="7182" max="7182" width="12.21875" style="428" customWidth="1"/>
    <col min="7183" max="7419" width="9.21875" style="428"/>
    <col min="7420" max="7420" width="7.21875" style="428" customWidth="1"/>
    <col min="7421" max="7421" width="25.88671875" style="428" customWidth="1"/>
    <col min="7422" max="7422" width="11.109375" style="428" customWidth="1"/>
    <col min="7423" max="7423" width="0" style="428" hidden="1" customWidth="1"/>
    <col min="7424" max="7424" width="11.109375" style="428" customWidth="1"/>
    <col min="7425" max="7425" width="1.33203125" style="428" customWidth="1"/>
    <col min="7426" max="7426" width="14.77734375" style="428" customWidth="1"/>
    <col min="7427" max="7427" width="9.109375" style="428" customWidth="1"/>
    <col min="7428" max="7428" width="12.21875" style="428" customWidth="1"/>
    <col min="7429" max="7429" width="15.33203125" style="428" customWidth="1"/>
    <col min="7430" max="7430" width="2.109375" style="428" customWidth="1"/>
    <col min="7431" max="7431" width="15.109375" style="428" customWidth="1"/>
    <col min="7432" max="7432" width="14.21875" style="428" customWidth="1"/>
    <col min="7433" max="7433" width="1.33203125" style="428" customWidth="1"/>
    <col min="7434" max="7434" width="14.109375" style="428" customWidth="1"/>
    <col min="7435" max="7435" width="1.33203125" style="428" customWidth="1"/>
    <col min="7436" max="7436" width="14.109375" style="428" customWidth="1"/>
    <col min="7437" max="7437" width="1.33203125" style="428" customWidth="1"/>
    <col min="7438" max="7438" width="12.21875" style="428" customWidth="1"/>
    <col min="7439" max="7675" width="9.21875" style="428"/>
    <col min="7676" max="7676" width="7.21875" style="428" customWidth="1"/>
    <col min="7677" max="7677" width="25.88671875" style="428" customWidth="1"/>
    <col min="7678" max="7678" width="11.109375" style="428" customWidth="1"/>
    <col min="7679" max="7679" width="0" style="428" hidden="1" customWidth="1"/>
    <col min="7680" max="7680" width="11.109375" style="428" customWidth="1"/>
    <col min="7681" max="7681" width="1.33203125" style="428" customWidth="1"/>
    <col min="7682" max="7682" width="14.77734375" style="428" customWidth="1"/>
    <col min="7683" max="7683" width="9.109375" style="428" customWidth="1"/>
    <col min="7684" max="7684" width="12.21875" style="428" customWidth="1"/>
    <col min="7685" max="7685" width="15.33203125" style="428" customWidth="1"/>
    <col min="7686" max="7686" width="2.109375" style="428" customWidth="1"/>
    <col min="7687" max="7687" width="15.109375" style="428" customWidth="1"/>
    <col min="7688" max="7688" width="14.21875" style="428" customWidth="1"/>
    <col min="7689" max="7689" width="1.33203125" style="428" customWidth="1"/>
    <col min="7690" max="7690" width="14.109375" style="428" customWidth="1"/>
    <col min="7691" max="7691" width="1.33203125" style="428" customWidth="1"/>
    <col min="7692" max="7692" width="14.109375" style="428" customWidth="1"/>
    <col min="7693" max="7693" width="1.33203125" style="428" customWidth="1"/>
    <col min="7694" max="7694" width="12.21875" style="428" customWidth="1"/>
    <col min="7695" max="7931" width="9.21875" style="428"/>
    <col min="7932" max="7932" width="7.21875" style="428" customWidth="1"/>
    <col min="7933" max="7933" width="25.88671875" style="428" customWidth="1"/>
    <col min="7934" max="7934" width="11.109375" style="428" customWidth="1"/>
    <col min="7935" max="7935" width="0" style="428" hidden="1" customWidth="1"/>
    <col min="7936" max="7936" width="11.109375" style="428" customWidth="1"/>
    <col min="7937" max="7937" width="1.33203125" style="428" customWidth="1"/>
    <col min="7938" max="7938" width="14.77734375" style="428" customWidth="1"/>
    <col min="7939" max="7939" width="9.109375" style="428" customWidth="1"/>
    <col min="7940" max="7940" width="12.21875" style="428" customWidth="1"/>
    <col min="7941" max="7941" width="15.33203125" style="428" customWidth="1"/>
    <col min="7942" max="7942" width="2.109375" style="428" customWidth="1"/>
    <col min="7943" max="7943" width="15.109375" style="428" customWidth="1"/>
    <col min="7944" max="7944" width="14.21875" style="428" customWidth="1"/>
    <col min="7945" max="7945" width="1.33203125" style="428" customWidth="1"/>
    <col min="7946" max="7946" width="14.109375" style="428" customWidth="1"/>
    <col min="7947" max="7947" width="1.33203125" style="428" customWidth="1"/>
    <col min="7948" max="7948" width="14.109375" style="428" customWidth="1"/>
    <col min="7949" max="7949" width="1.33203125" style="428" customWidth="1"/>
    <col min="7950" max="7950" width="12.21875" style="428" customWidth="1"/>
    <col min="7951" max="8187" width="9.21875" style="428"/>
    <col min="8188" max="8188" width="7.21875" style="428" customWidth="1"/>
    <col min="8189" max="8189" width="25.88671875" style="428" customWidth="1"/>
    <col min="8190" max="8190" width="11.109375" style="428" customWidth="1"/>
    <col min="8191" max="8191" width="0" style="428" hidden="1" customWidth="1"/>
    <col min="8192" max="8192" width="11.109375" style="428" customWidth="1"/>
    <col min="8193" max="8193" width="1.33203125" style="428" customWidth="1"/>
    <col min="8194" max="8194" width="14.77734375" style="428" customWidth="1"/>
    <col min="8195" max="8195" width="9.109375" style="428" customWidth="1"/>
    <col min="8196" max="8196" width="12.21875" style="428" customWidth="1"/>
    <col min="8197" max="8197" width="15.33203125" style="428" customWidth="1"/>
    <col min="8198" max="8198" width="2.109375" style="428" customWidth="1"/>
    <col min="8199" max="8199" width="15.109375" style="428" customWidth="1"/>
    <col min="8200" max="8200" width="14.21875" style="428" customWidth="1"/>
    <col min="8201" max="8201" width="1.33203125" style="428" customWidth="1"/>
    <col min="8202" max="8202" width="14.109375" style="428" customWidth="1"/>
    <col min="8203" max="8203" width="1.33203125" style="428" customWidth="1"/>
    <col min="8204" max="8204" width="14.109375" style="428" customWidth="1"/>
    <col min="8205" max="8205" width="1.33203125" style="428" customWidth="1"/>
    <col min="8206" max="8206" width="12.21875" style="428" customWidth="1"/>
    <col min="8207" max="8443" width="9.21875" style="428"/>
    <col min="8444" max="8444" width="7.21875" style="428" customWidth="1"/>
    <col min="8445" max="8445" width="25.88671875" style="428" customWidth="1"/>
    <col min="8446" max="8446" width="11.109375" style="428" customWidth="1"/>
    <col min="8447" max="8447" width="0" style="428" hidden="1" customWidth="1"/>
    <col min="8448" max="8448" width="11.109375" style="428" customWidth="1"/>
    <col min="8449" max="8449" width="1.33203125" style="428" customWidth="1"/>
    <col min="8450" max="8450" width="14.77734375" style="428" customWidth="1"/>
    <col min="8451" max="8451" width="9.109375" style="428" customWidth="1"/>
    <col min="8452" max="8452" width="12.21875" style="428" customWidth="1"/>
    <col min="8453" max="8453" width="15.33203125" style="428" customWidth="1"/>
    <col min="8454" max="8454" width="2.109375" style="428" customWidth="1"/>
    <col min="8455" max="8455" width="15.109375" style="428" customWidth="1"/>
    <col min="8456" max="8456" width="14.21875" style="428" customWidth="1"/>
    <col min="8457" max="8457" width="1.33203125" style="428" customWidth="1"/>
    <col min="8458" max="8458" width="14.109375" style="428" customWidth="1"/>
    <col min="8459" max="8459" width="1.33203125" style="428" customWidth="1"/>
    <col min="8460" max="8460" width="14.109375" style="428" customWidth="1"/>
    <col min="8461" max="8461" width="1.33203125" style="428" customWidth="1"/>
    <col min="8462" max="8462" width="12.21875" style="428" customWidth="1"/>
    <col min="8463" max="8699" width="9.21875" style="428"/>
    <col min="8700" max="8700" width="7.21875" style="428" customWidth="1"/>
    <col min="8701" max="8701" width="25.88671875" style="428" customWidth="1"/>
    <col min="8702" max="8702" width="11.109375" style="428" customWidth="1"/>
    <col min="8703" max="8703" width="0" style="428" hidden="1" customWidth="1"/>
    <col min="8704" max="8704" width="11.109375" style="428" customWidth="1"/>
    <col min="8705" max="8705" width="1.33203125" style="428" customWidth="1"/>
    <col min="8706" max="8706" width="14.77734375" style="428" customWidth="1"/>
    <col min="8707" max="8707" width="9.109375" style="428" customWidth="1"/>
    <col min="8708" max="8708" width="12.21875" style="428" customWidth="1"/>
    <col min="8709" max="8709" width="15.33203125" style="428" customWidth="1"/>
    <col min="8710" max="8710" width="2.109375" style="428" customWidth="1"/>
    <col min="8711" max="8711" width="15.109375" style="428" customWidth="1"/>
    <col min="8712" max="8712" width="14.21875" style="428" customWidth="1"/>
    <col min="8713" max="8713" width="1.33203125" style="428" customWidth="1"/>
    <col min="8714" max="8714" width="14.109375" style="428" customWidth="1"/>
    <col min="8715" max="8715" width="1.33203125" style="428" customWidth="1"/>
    <col min="8716" max="8716" width="14.109375" style="428" customWidth="1"/>
    <col min="8717" max="8717" width="1.33203125" style="428" customWidth="1"/>
    <col min="8718" max="8718" width="12.21875" style="428" customWidth="1"/>
    <col min="8719" max="8955" width="9.21875" style="428"/>
    <col min="8956" max="8956" width="7.21875" style="428" customWidth="1"/>
    <col min="8957" max="8957" width="25.88671875" style="428" customWidth="1"/>
    <col min="8958" max="8958" width="11.109375" style="428" customWidth="1"/>
    <col min="8959" max="8959" width="0" style="428" hidden="1" customWidth="1"/>
    <col min="8960" max="8960" width="11.109375" style="428" customWidth="1"/>
    <col min="8961" max="8961" width="1.33203125" style="428" customWidth="1"/>
    <col min="8962" max="8962" width="14.77734375" style="428" customWidth="1"/>
    <col min="8963" max="8963" width="9.109375" style="428" customWidth="1"/>
    <col min="8964" max="8964" width="12.21875" style="428" customWidth="1"/>
    <col min="8965" max="8965" width="15.33203125" style="428" customWidth="1"/>
    <col min="8966" max="8966" width="2.109375" style="428" customWidth="1"/>
    <col min="8967" max="8967" width="15.109375" style="428" customWidth="1"/>
    <col min="8968" max="8968" width="14.21875" style="428" customWidth="1"/>
    <col min="8969" max="8969" width="1.33203125" style="428" customWidth="1"/>
    <col min="8970" max="8970" width="14.109375" style="428" customWidth="1"/>
    <col min="8971" max="8971" width="1.33203125" style="428" customWidth="1"/>
    <col min="8972" max="8972" width="14.109375" style="428" customWidth="1"/>
    <col min="8973" max="8973" width="1.33203125" style="428" customWidth="1"/>
    <col min="8974" max="8974" width="12.21875" style="428" customWidth="1"/>
    <col min="8975" max="9211" width="9.21875" style="428"/>
    <col min="9212" max="9212" width="7.21875" style="428" customWidth="1"/>
    <col min="9213" max="9213" width="25.88671875" style="428" customWidth="1"/>
    <col min="9214" max="9214" width="11.109375" style="428" customWidth="1"/>
    <col min="9215" max="9215" width="0" style="428" hidden="1" customWidth="1"/>
    <col min="9216" max="9216" width="11.109375" style="428" customWidth="1"/>
    <col min="9217" max="9217" width="1.33203125" style="428" customWidth="1"/>
    <col min="9218" max="9218" width="14.77734375" style="428" customWidth="1"/>
    <col min="9219" max="9219" width="9.109375" style="428" customWidth="1"/>
    <col min="9220" max="9220" width="12.21875" style="428" customWidth="1"/>
    <col min="9221" max="9221" width="15.33203125" style="428" customWidth="1"/>
    <col min="9222" max="9222" width="2.109375" style="428" customWidth="1"/>
    <col min="9223" max="9223" width="15.109375" style="428" customWidth="1"/>
    <col min="9224" max="9224" width="14.21875" style="428" customWidth="1"/>
    <col min="9225" max="9225" width="1.33203125" style="428" customWidth="1"/>
    <col min="9226" max="9226" width="14.109375" style="428" customWidth="1"/>
    <col min="9227" max="9227" width="1.33203125" style="428" customWidth="1"/>
    <col min="9228" max="9228" width="14.109375" style="428" customWidth="1"/>
    <col min="9229" max="9229" width="1.33203125" style="428" customWidth="1"/>
    <col min="9230" max="9230" width="12.21875" style="428" customWidth="1"/>
    <col min="9231" max="9467" width="9.21875" style="428"/>
    <col min="9468" max="9468" width="7.21875" style="428" customWidth="1"/>
    <col min="9469" max="9469" width="25.88671875" style="428" customWidth="1"/>
    <col min="9470" max="9470" width="11.109375" style="428" customWidth="1"/>
    <col min="9471" max="9471" width="0" style="428" hidden="1" customWidth="1"/>
    <col min="9472" max="9472" width="11.109375" style="428" customWidth="1"/>
    <col min="9473" max="9473" width="1.33203125" style="428" customWidth="1"/>
    <col min="9474" max="9474" width="14.77734375" style="428" customWidth="1"/>
    <col min="9475" max="9475" width="9.109375" style="428" customWidth="1"/>
    <col min="9476" max="9476" width="12.21875" style="428" customWidth="1"/>
    <col min="9477" max="9477" width="15.33203125" style="428" customWidth="1"/>
    <col min="9478" max="9478" width="2.109375" style="428" customWidth="1"/>
    <col min="9479" max="9479" width="15.109375" style="428" customWidth="1"/>
    <col min="9480" max="9480" width="14.21875" style="428" customWidth="1"/>
    <col min="9481" max="9481" width="1.33203125" style="428" customWidth="1"/>
    <col min="9482" max="9482" width="14.109375" style="428" customWidth="1"/>
    <col min="9483" max="9483" width="1.33203125" style="428" customWidth="1"/>
    <col min="9484" max="9484" width="14.109375" style="428" customWidth="1"/>
    <col min="9485" max="9485" width="1.33203125" style="428" customWidth="1"/>
    <col min="9486" max="9486" width="12.21875" style="428" customWidth="1"/>
    <col min="9487" max="9723" width="9.21875" style="428"/>
    <col min="9724" max="9724" width="7.21875" style="428" customWidth="1"/>
    <col min="9725" max="9725" width="25.88671875" style="428" customWidth="1"/>
    <col min="9726" max="9726" width="11.109375" style="428" customWidth="1"/>
    <col min="9727" max="9727" width="0" style="428" hidden="1" customWidth="1"/>
    <col min="9728" max="9728" width="11.109375" style="428" customWidth="1"/>
    <col min="9729" max="9729" width="1.33203125" style="428" customWidth="1"/>
    <col min="9730" max="9730" width="14.77734375" style="428" customWidth="1"/>
    <col min="9731" max="9731" width="9.109375" style="428" customWidth="1"/>
    <col min="9732" max="9732" width="12.21875" style="428" customWidth="1"/>
    <col min="9733" max="9733" width="15.33203125" style="428" customWidth="1"/>
    <col min="9734" max="9734" width="2.109375" style="428" customWidth="1"/>
    <col min="9735" max="9735" width="15.109375" style="428" customWidth="1"/>
    <col min="9736" max="9736" width="14.21875" style="428" customWidth="1"/>
    <col min="9737" max="9737" width="1.33203125" style="428" customWidth="1"/>
    <col min="9738" max="9738" width="14.109375" style="428" customWidth="1"/>
    <col min="9739" max="9739" width="1.33203125" style="428" customWidth="1"/>
    <col min="9740" max="9740" width="14.109375" style="428" customWidth="1"/>
    <col min="9741" max="9741" width="1.33203125" style="428" customWidth="1"/>
    <col min="9742" max="9742" width="12.21875" style="428" customWidth="1"/>
    <col min="9743" max="9979" width="9.21875" style="428"/>
    <col min="9980" max="9980" width="7.21875" style="428" customWidth="1"/>
    <col min="9981" max="9981" width="25.88671875" style="428" customWidth="1"/>
    <col min="9982" max="9982" width="11.109375" style="428" customWidth="1"/>
    <col min="9983" max="9983" width="0" style="428" hidden="1" customWidth="1"/>
    <col min="9984" max="9984" width="11.109375" style="428" customWidth="1"/>
    <col min="9985" max="9985" width="1.33203125" style="428" customWidth="1"/>
    <col min="9986" max="9986" width="14.77734375" style="428" customWidth="1"/>
    <col min="9987" max="9987" width="9.109375" style="428" customWidth="1"/>
    <col min="9988" max="9988" width="12.21875" style="428" customWidth="1"/>
    <col min="9989" max="9989" width="15.33203125" style="428" customWidth="1"/>
    <col min="9990" max="9990" width="2.109375" style="428" customWidth="1"/>
    <col min="9991" max="9991" width="15.109375" style="428" customWidth="1"/>
    <col min="9992" max="9992" width="14.21875" style="428" customWidth="1"/>
    <col min="9993" max="9993" width="1.33203125" style="428" customWidth="1"/>
    <col min="9994" max="9994" width="14.109375" style="428" customWidth="1"/>
    <col min="9995" max="9995" width="1.33203125" style="428" customWidth="1"/>
    <col min="9996" max="9996" width="14.109375" style="428" customWidth="1"/>
    <col min="9997" max="9997" width="1.33203125" style="428" customWidth="1"/>
    <col min="9998" max="9998" width="12.21875" style="428" customWidth="1"/>
    <col min="9999" max="10235" width="9.21875" style="428"/>
    <col min="10236" max="10236" width="7.21875" style="428" customWidth="1"/>
    <col min="10237" max="10237" width="25.88671875" style="428" customWidth="1"/>
    <col min="10238" max="10238" width="11.109375" style="428" customWidth="1"/>
    <col min="10239" max="10239" width="0" style="428" hidden="1" customWidth="1"/>
    <col min="10240" max="10240" width="11.109375" style="428" customWidth="1"/>
    <col min="10241" max="10241" width="1.33203125" style="428" customWidth="1"/>
    <col min="10242" max="10242" width="14.77734375" style="428" customWidth="1"/>
    <col min="10243" max="10243" width="9.109375" style="428" customWidth="1"/>
    <col min="10244" max="10244" width="12.21875" style="428" customWidth="1"/>
    <col min="10245" max="10245" width="15.33203125" style="428" customWidth="1"/>
    <col min="10246" max="10246" width="2.109375" style="428" customWidth="1"/>
    <col min="10247" max="10247" width="15.109375" style="428" customWidth="1"/>
    <col min="10248" max="10248" width="14.21875" style="428" customWidth="1"/>
    <col min="10249" max="10249" width="1.33203125" style="428" customWidth="1"/>
    <col min="10250" max="10250" width="14.109375" style="428" customWidth="1"/>
    <col min="10251" max="10251" width="1.33203125" style="428" customWidth="1"/>
    <col min="10252" max="10252" width="14.109375" style="428" customWidth="1"/>
    <col min="10253" max="10253" width="1.33203125" style="428" customWidth="1"/>
    <col min="10254" max="10254" width="12.21875" style="428" customWidth="1"/>
    <col min="10255" max="10491" width="9.21875" style="428"/>
    <col min="10492" max="10492" width="7.21875" style="428" customWidth="1"/>
    <col min="10493" max="10493" width="25.88671875" style="428" customWidth="1"/>
    <col min="10494" max="10494" width="11.109375" style="428" customWidth="1"/>
    <col min="10495" max="10495" width="0" style="428" hidden="1" customWidth="1"/>
    <col min="10496" max="10496" width="11.109375" style="428" customWidth="1"/>
    <col min="10497" max="10497" width="1.33203125" style="428" customWidth="1"/>
    <col min="10498" max="10498" width="14.77734375" style="428" customWidth="1"/>
    <col min="10499" max="10499" width="9.109375" style="428" customWidth="1"/>
    <col min="10500" max="10500" width="12.21875" style="428" customWidth="1"/>
    <col min="10501" max="10501" width="15.33203125" style="428" customWidth="1"/>
    <col min="10502" max="10502" width="2.109375" style="428" customWidth="1"/>
    <col min="10503" max="10503" width="15.109375" style="428" customWidth="1"/>
    <col min="10504" max="10504" width="14.21875" style="428" customWidth="1"/>
    <col min="10505" max="10505" width="1.33203125" style="428" customWidth="1"/>
    <col min="10506" max="10506" width="14.109375" style="428" customWidth="1"/>
    <col min="10507" max="10507" width="1.33203125" style="428" customWidth="1"/>
    <col min="10508" max="10508" width="14.109375" style="428" customWidth="1"/>
    <col min="10509" max="10509" width="1.33203125" style="428" customWidth="1"/>
    <col min="10510" max="10510" width="12.21875" style="428" customWidth="1"/>
    <col min="10511" max="10747" width="9.21875" style="428"/>
    <col min="10748" max="10748" width="7.21875" style="428" customWidth="1"/>
    <col min="10749" max="10749" width="25.88671875" style="428" customWidth="1"/>
    <col min="10750" max="10750" width="11.109375" style="428" customWidth="1"/>
    <col min="10751" max="10751" width="0" style="428" hidden="1" customWidth="1"/>
    <col min="10752" max="10752" width="11.109375" style="428" customWidth="1"/>
    <col min="10753" max="10753" width="1.33203125" style="428" customWidth="1"/>
    <col min="10754" max="10754" width="14.77734375" style="428" customWidth="1"/>
    <col min="10755" max="10755" width="9.109375" style="428" customWidth="1"/>
    <col min="10756" max="10756" width="12.21875" style="428" customWidth="1"/>
    <col min="10757" max="10757" width="15.33203125" style="428" customWidth="1"/>
    <col min="10758" max="10758" width="2.109375" style="428" customWidth="1"/>
    <col min="10759" max="10759" width="15.109375" style="428" customWidth="1"/>
    <col min="10760" max="10760" width="14.21875" style="428" customWidth="1"/>
    <col min="10761" max="10761" width="1.33203125" style="428" customWidth="1"/>
    <col min="10762" max="10762" width="14.109375" style="428" customWidth="1"/>
    <col min="10763" max="10763" width="1.33203125" style="428" customWidth="1"/>
    <col min="10764" max="10764" width="14.109375" style="428" customWidth="1"/>
    <col min="10765" max="10765" width="1.33203125" style="428" customWidth="1"/>
    <col min="10766" max="10766" width="12.21875" style="428" customWidth="1"/>
    <col min="10767" max="11003" width="9.21875" style="428"/>
    <col min="11004" max="11004" width="7.21875" style="428" customWidth="1"/>
    <col min="11005" max="11005" width="25.88671875" style="428" customWidth="1"/>
    <col min="11006" max="11006" width="11.109375" style="428" customWidth="1"/>
    <col min="11007" max="11007" width="0" style="428" hidden="1" customWidth="1"/>
    <col min="11008" max="11008" width="11.109375" style="428" customWidth="1"/>
    <col min="11009" max="11009" width="1.33203125" style="428" customWidth="1"/>
    <col min="11010" max="11010" width="14.77734375" style="428" customWidth="1"/>
    <col min="11011" max="11011" width="9.109375" style="428" customWidth="1"/>
    <col min="11012" max="11012" width="12.21875" style="428" customWidth="1"/>
    <col min="11013" max="11013" width="15.33203125" style="428" customWidth="1"/>
    <col min="11014" max="11014" width="2.109375" style="428" customWidth="1"/>
    <col min="11015" max="11015" width="15.109375" style="428" customWidth="1"/>
    <col min="11016" max="11016" width="14.21875" style="428" customWidth="1"/>
    <col min="11017" max="11017" width="1.33203125" style="428" customWidth="1"/>
    <col min="11018" max="11018" width="14.109375" style="428" customWidth="1"/>
    <col min="11019" max="11019" width="1.33203125" style="428" customWidth="1"/>
    <col min="11020" max="11020" width="14.109375" style="428" customWidth="1"/>
    <col min="11021" max="11021" width="1.33203125" style="428" customWidth="1"/>
    <col min="11022" max="11022" width="12.21875" style="428" customWidth="1"/>
    <col min="11023" max="11259" width="9.21875" style="428"/>
    <col min="11260" max="11260" width="7.21875" style="428" customWidth="1"/>
    <col min="11261" max="11261" width="25.88671875" style="428" customWidth="1"/>
    <col min="11262" max="11262" width="11.109375" style="428" customWidth="1"/>
    <col min="11263" max="11263" width="0" style="428" hidden="1" customWidth="1"/>
    <col min="11264" max="11264" width="11.109375" style="428" customWidth="1"/>
    <col min="11265" max="11265" width="1.33203125" style="428" customWidth="1"/>
    <col min="11266" max="11266" width="14.77734375" style="428" customWidth="1"/>
    <col min="11267" max="11267" width="9.109375" style="428" customWidth="1"/>
    <col min="11268" max="11268" width="12.21875" style="428" customWidth="1"/>
    <col min="11269" max="11269" width="15.33203125" style="428" customWidth="1"/>
    <col min="11270" max="11270" width="2.109375" style="428" customWidth="1"/>
    <col min="11271" max="11271" width="15.109375" style="428" customWidth="1"/>
    <col min="11272" max="11272" width="14.21875" style="428" customWidth="1"/>
    <col min="11273" max="11273" width="1.33203125" style="428" customWidth="1"/>
    <col min="11274" max="11274" width="14.109375" style="428" customWidth="1"/>
    <col min="11275" max="11275" width="1.33203125" style="428" customWidth="1"/>
    <col min="11276" max="11276" width="14.109375" style="428" customWidth="1"/>
    <col min="11277" max="11277" width="1.33203125" style="428" customWidth="1"/>
    <col min="11278" max="11278" width="12.21875" style="428" customWidth="1"/>
    <col min="11279" max="11515" width="9.21875" style="428"/>
    <col min="11516" max="11516" width="7.21875" style="428" customWidth="1"/>
    <col min="11517" max="11517" width="25.88671875" style="428" customWidth="1"/>
    <col min="11518" max="11518" width="11.109375" style="428" customWidth="1"/>
    <col min="11519" max="11519" width="0" style="428" hidden="1" customWidth="1"/>
    <col min="11520" max="11520" width="11.109375" style="428" customWidth="1"/>
    <col min="11521" max="11521" width="1.33203125" style="428" customWidth="1"/>
    <col min="11522" max="11522" width="14.77734375" style="428" customWidth="1"/>
    <col min="11523" max="11523" width="9.109375" style="428" customWidth="1"/>
    <col min="11524" max="11524" width="12.21875" style="428" customWidth="1"/>
    <col min="11525" max="11525" width="15.33203125" style="428" customWidth="1"/>
    <col min="11526" max="11526" width="2.109375" style="428" customWidth="1"/>
    <col min="11527" max="11527" width="15.109375" style="428" customWidth="1"/>
    <col min="11528" max="11528" width="14.21875" style="428" customWidth="1"/>
    <col min="11529" max="11529" width="1.33203125" style="428" customWidth="1"/>
    <col min="11530" max="11530" width="14.109375" style="428" customWidth="1"/>
    <col min="11531" max="11531" width="1.33203125" style="428" customWidth="1"/>
    <col min="11532" max="11532" width="14.109375" style="428" customWidth="1"/>
    <col min="11533" max="11533" width="1.33203125" style="428" customWidth="1"/>
    <col min="11534" max="11534" width="12.21875" style="428" customWidth="1"/>
    <col min="11535" max="11771" width="9.21875" style="428"/>
    <col min="11772" max="11772" width="7.21875" style="428" customWidth="1"/>
    <col min="11773" max="11773" width="25.88671875" style="428" customWidth="1"/>
    <col min="11774" max="11774" width="11.109375" style="428" customWidth="1"/>
    <col min="11775" max="11775" width="0" style="428" hidden="1" customWidth="1"/>
    <col min="11776" max="11776" width="11.109375" style="428" customWidth="1"/>
    <col min="11777" max="11777" width="1.33203125" style="428" customWidth="1"/>
    <col min="11778" max="11778" width="14.77734375" style="428" customWidth="1"/>
    <col min="11779" max="11779" width="9.109375" style="428" customWidth="1"/>
    <col min="11780" max="11780" width="12.21875" style="428" customWidth="1"/>
    <col min="11781" max="11781" width="15.33203125" style="428" customWidth="1"/>
    <col min="11782" max="11782" width="2.109375" style="428" customWidth="1"/>
    <col min="11783" max="11783" width="15.109375" style="428" customWidth="1"/>
    <col min="11784" max="11784" width="14.21875" style="428" customWidth="1"/>
    <col min="11785" max="11785" width="1.33203125" style="428" customWidth="1"/>
    <col min="11786" max="11786" width="14.109375" style="428" customWidth="1"/>
    <col min="11787" max="11787" width="1.33203125" style="428" customWidth="1"/>
    <col min="11788" max="11788" width="14.109375" style="428" customWidth="1"/>
    <col min="11789" max="11789" width="1.33203125" style="428" customWidth="1"/>
    <col min="11790" max="11790" width="12.21875" style="428" customWidth="1"/>
    <col min="11791" max="12027" width="9.21875" style="428"/>
    <col min="12028" max="12028" width="7.21875" style="428" customWidth="1"/>
    <col min="12029" max="12029" width="25.88671875" style="428" customWidth="1"/>
    <col min="12030" max="12030" width="11.109375" style="428" customWidth="1"/>
    <col min="12031" max="12031" width="0" style="428" hidden="1" customWidth="1"/>
    <col min="12032" max="12032" width="11.109375" style="428" customWidth="1"/>
    <col min="12033" max="12033" width="1.33203125" style="428" customWidth="1"/>
    <col min="12034" max="12034" width="14.77734375" style="428" customWidth="1"/>
    <col min="12035" max="12035" width="9.109375" style="428" customWidth="1"/>
    <col min="12036" max="12036" width="12.21875" style="428" customWidth="1"/>
    <col min="12037" max="12037" width="15.33203125" style="428" customWidth="1"/>
    <col min="12038" max="12038" width="2.109375" style="428" customWidth="1"/>
    <col min="12039" max="12039" width="15.109375" style="428" customWidth="1"/>
    <col min="12040" max="12040" width="14.21875" style="428" customWidth="1"/>
    <col min="12041" max="12041" width="1.33203125" style="428" customWidth="1"/>
    <col min="12042" max="12042" width="14.109375" style="428" customWidth="1"/>
    <col min="12043" max="12043" width="1.33203125" style="428" customWidth="1"/>
    <col min="12044" max="12044" width="14.109375" style="428" customWidth="1"/>
    <col min="12045" max="12045" width="1.33203125" style="428" customWidth="1"/>
    <col min="12046" max="12046" width="12.21875" style="428" customWidth="1"/>
    <col min="12047" max="12283" width="9.21875" style="428"/>
    <col min="12284" max="12284" width="7.21875" style="428" customWidth="1"/>
    <col min="12285" max="12285" width="25.88671875" style="428" customWidth="1"/>
    <col min="12286" max="12286" width="11.109375" style="428" customWidth="1"/>
    <col min="12287" max="12287" width="0" style="428" hidden="1" customWidth="1"/>
    <col min="12288" max="12288" width="11.109375" style="428" customWidth="1"/>
    <col min="12289" max="12289" width="1.33203125" style="428" customWidth="1"/>
    <col min="12290" max="12290" width="14.77734375" style="428" customWidth="1"/>
    <col min="12291" max="12291" width="9.109375" style="428" customWidth="1"/>
    <col min="12292" max="12292" width="12.21875" style="428" customWidth="1"/>
    <col min="12293" max="12293" width="15.33203125" style="428" customWidth="1"/>
    <col min="12294" max="12294" width="2.109375" style="428" customWidth="1"/>
    <col min="12295" max="12295" width="15.109375" style="428" customWidth="1"/>
    <col min="12296" max="12296" width="14.21875" style="428" customWidth="1"/>
    <col min="12297" max="12297" width="1.33203125" style="428" customWidth="1"/>
    <col min="12298" max="12298" width="14.109375" style="428" customWidth="1"/>
    <col min="12299" max="12299" width="1.33203125" style="428" customWidth="1"/>
    <col min="12300" max="12300" width="14.109375" style="428" customWidth="1"/>
    <col min="12301" max="12301" width="1.33203125" style="428" customWidth="1"/>
    <col min="12302" max="12302" width="12.21875" style="428" customWidth="1"/>
    <col min="12303" max="12539" width="9.21875" style="428"/>
    <col min="12540" max="12540" width="7.21875" style="428" customWidth="1"/>
    <col min="12541" max="12541" width="25.88671875" style="428" customWidth="1"/>
    <col min="12542" max="12542" width="11.109375" style="428" customWidth="1"/>
    <col min="12543" max="12543" width="0" style="428" hidden="1" customWidth="1"/>
    <col min="12544" max="12544" width="11.109375" style="428" customWidth="1"/>
    <col min="12545" max="12545" width="1.33203125" style="428" customWidth="1"/>
    <col min="12546" max="12546" width="14.77734375" style="428" customWidth="1"/>
    <col min="12547" max="12547" width="9.109375" style="428" customWidth="1"/>
    <col min="12548" max="12548" width="12.21875" style="428" customWidth="1"/>
    <col min="12549" max="12549" width="15.33203125" style="428" customWidth="1"/>
    <col min="12550" max="12550" width="2.109375" style="428" customWidth="1"/>
    <col min="12551" max="12551" width="15.109375" style="428" customWidth="1"/>
    <col min="12552" max="12552" width="14.21875" style="428" customWidth="1"/>
    <col min="12553" max="12553" width="1.33203125" style="428" customWidth="1"/>
    <col min="12554" max="12554" width="14.109375" style="428" customWidth="1"/>
    <col min="12555" max="12555" width="1.33203125" style="428" customWidth="1"/>
    <col min="12556" max="12556" width="14.109375" style="428" customWidth="1"/>
    <col min="12557" max="12557" width="1.33203125" style="428" customWidth="1"/>
    <col min="12558" max="12558" width="12.21875" style="428" customWidth="1"/>
    <col min="12559" max="12795" width="9.21875" style="428"/>
    <col min="12796" max="12796" width="7.21875" style="428" customWidth="1"/>
    <col min="12797" max="12797" width="25.88671875" style="428" customWidth="1"/>
    <col min="12798" max="12798" width="11.109375" style="428" customWidth="1"/>
    <col min="12799" max="12799" width="0" style="428" hidden="1" customWidth="1"/>
    <col min="12800" max="12800" width="11.109375" style="428" customWidth="1"/>
    <col min="12801" max="12801" width="1.33203125" style="428" customWidth="1"/>
    <col min="12802" max="12802" width="14.77734375" style="428" customWidth="1"/>
    <col min="12803" max="12803" width="9.109375" style="428" customWidth="1"/>
    <col min="12804" max="12804" width="12.21875" style="428" customWidth="1"/>
    <col min="12805" max="12805" width="15.33203125" style="428" customWidth="1"/>
    <col min="12806" max="12806" width="2.109375" style="428" customWidth="1"/>
    <col min="12807" max="12807" width="15.109375" style="428" customWidth="1"/>
    <col min="12808" max="12808" width="14.21875" style="428" customWidth="1"/>
    <col min="12809" max="12809" width="1.33203125" style="428" customWidth="1"/>
    <col min="12810" max="12810" width="14.109375" style="428" customWidth="1"/>
    <col min="12811" max="12811" width="1.33203125" style="428" customWidth="1"/>
    <col min="12812" max="12812" width="14.109375" style="428" customWidth="1"/>
    <col min="12813" max="12813" width="1.33203125" style="428" customWidth="1"/>
    <col min="12814" max="12814" width="12.21875" style="428" customWidth="1"/>
    <col min="12815" max="13051" width="9.21875" style="428"/>
    <col min="13052" max="13052" width="7.21875" style="428" customWidth="1"/>
    <col min="13053" max="13053" width="25.88671875" style="428" customWidth="1"/>
    <col min="13054" max="13054" width="11.109375" style="428" customWidth="1"/>
    <col min="13055" max="13055" width="0" style="428" hidden="1" customWidth="1"/>
    <col min="13056" max="13056" width="11.109375" style="428" customWidth="1"/>
    <col min="13057" max="13057" width="1.33203125" style="428" customWidth="1"/>
    <col min="13058" max="13058" width="14.77734375" style="428" customWidth="1"/>
    <col min="13059" max="13059" width="9.109375" style="428" customWidth="1"/>
    <col min="13060" max="13060" width="12.21875" style="428" customWidth="1"/>
    <col min="13061" max="13061" width="15.33203125" style="428" customWidth="1"/>
    <col min="13062" max="13062" width="2.109375" style="428" customWidth="1"/>
    <col min="13063" max="13063" width="15.109375" style="428" customWidth="1"/>
    <col min="13064" max="13064" width="14.21875" style="428" customWidth="1"/>
    <col min="13065" max="13065" width="1.33203125" style="428" customWidth="1"/>
    <col min="13066" max="13066" width="14.109375" style="428" customWidth="1"/>
    <col min="13067" max="13067" width="1.33203125" style="428" customWidth="1"/>
    <col min="13068" max="13068" width="14.109375" style="428" customWidth="1"/>
    <col min="13069" max="13069" width="1.33203125" style="428" customWidth="1"/>
    <col min="13070" max="13070" width="12.21875" style="428" customWidth="1"/>
    <col min="13071" max="13307" width="9.21875" style="428"/>
    <col min="13308" max="13308" width="7.21875" style="428" customWidth="1"/>
    <col min="13309" max="13309" width="25.88671875" style="428" customWidth="1"/>
    <col min="13310" max="13310" width="11.109375" style="428" customWidth="1"/>
    <col min="13311" max="13311" width="0" style="428" hidden="1" customWidth="1"/>
    <col min="13312" max="13312" width="11.109375" style="428" customWidth="1"/>
    <col min="13313" max="13313" width="1.33203125" style="428" customWidth="1"/>
    <col min="13314" max="13314" width="14.77734375" style="428" customWidth="1"/>
    <col min="13315" max="13315" width="9.109375" style="428" customWidth="1"/>
    <col min="13316" max="13316" width="12.21875" style="428" customWidth="1"/>
    <col min="13317" max="13317" width="15.33203125" style="428" customWidth="1"/>
    <col min="13318" max="13318" width="2.109375" style="428" customWidth="1"/>
    <col min="13319" max="13319" width="15.109375" style="428" customWidth="1"/>
    <col min="13320" max="13320" width="14.21875" style="428" customWidth="1"/>
    <col min="13321" max="13321" width="1.33203125" style="428" customWidth="1"/>
    <col min="13322" max="13322" width="14.109375" style="428" customWidth="1"/>
    <col min="13323" max="13323" width="1.33203125" style="428" customWidth="1"/>
    <col min="13324" max="13324" width="14.109375" style="428" customWidth="1"/>
    <col min="13325" max="13325" width="1.33203125" style="428" customWidth="1"/>
    <col min="13326" max="13326" width="12.21875" style="428" customWidth="1"/>
    <col min="13327" max="13563" width="9.21875" style="428"/>
    <col min="13564" max="13564" width="7.21875" style="428" customWidth="1"/>
    <col min="13565" max="13565" width="25.88671875" style="428" customWidth="1"/>
    <col min="13566" max="13566" width="11.109375" style="428" customWidth="1"/>
    <col min="13567" max="13567" width="0" style="428" hidden="1" customWidth="1"/>
    <col min="13568" max="13568" width="11.109375" style="428" customWidth="1"/>
    <col min="13569" max="13569" width="1.33203125" style="428" customWidth="1"/>
    <col min="13570" max="13570" width="14.77734375" style="428" customWidth="1"/>
    <col min="13571" max="13571" width="9.109375" style="428" customWidth="1"/>
    <col min="13572" max="13572" width="12.21875" style="428" customWidth="1"/>
    <col min="13573" max="13573" width="15.33203125" style="428" customWidth="1"/>
    <col min="13574" max="13574" width="2.109375" style="428" customWidth="1"/>
    <col min="13575" max="13575" width="15.109375" style="428" customWidth="1"/>
    <col min="13576" max="13576" width="14.21875" style="428" customWidth="1"/>
    <col min="13577" max="13577" width="1.33203125" style="428" customWidth="1"/>
    <col min="13578" max="13578" width="14.109375" style="428" customWidth="1"/>
    <col min="13579" max="13579" width="1.33203125" style="428" customWidth="1"/>
    <col min="13580" max="13580" width="14.109375" style="428" customWidth="1"/>
    <col min="13581" max="13581" width="1.33203125" style="428" customWidth="1"/>
    <col min="13582" max="13582" width="12.21875" style="428" customWidth="1"/>
    <col min="13583" max="13819" width="9.21875" style="428"/>
    <col min="13820" max="13820" width="7.21875" style="428" customWidth="1"/>
    <col min="13821" max="13821" width="25.88671875" style="428" customWidth="1"/>
    <col min="13822" max="13822" width="11.109375" style="428" customWidth="1"/>
    <col min="13823" max="13823" width="0" style="428" hidden="1" customWidth="1"/>
    <col min="13824" max="13824" width="11.109375" style="428" customWidth="1"/>
    <col min="13825" max="13825" width="1.33203125" style="428" customWidth="1"/>
    <col min="13826" max="13826" width="14.77734375" style="428" customWidth="1"/>
    <col min="13827" max="13827" width="9.109375" style="428" customWidth="1"/>
    <col min="13828" max="13828" width="12.21875" style="428" customWidth="1"/>
    <col min="13829" max="13829" width="15.33203125" style="428" customWidth="1"/>
    <col min="13830" max="13830" width="2.109375" style="428" customWidth="1"/>
    <col min="13831" max="13831" width="15.109375" style="428" customWidth="1"/>
    <col min="13832" max="13832" width="14.21875" style="428" customWidth="1"/>
    <col min="13833" max="13833" width="1.33203125" style="428" customWidth="1"/>
    <col min="13834" max="13834" width="14.109375" style="428" customWidth="1"/>
    <col min="13835" max="13835" width="1.33203125" style="428" customWidth="1"/>
    <col min="13836" max="13836" width="14.109375" style="428" customWidth="1"/>
    <col min="13837" max="13837" width="1.33203125" style="428" customWidth="1"/>
    <col min="13838" max="13838" width="12.21875" style="428" customWidth="1"/>
    <col min="13839" max="14075" width="9.21875" style="428"/>
    <col min="14076" max="14076" width="7.21875" style="428" customWidth="1"/>
    <col min="14077" max="14077" width="25.88671875" style="428" customWidth="1"/>
    <col min="14078" max="14078" width="11.109375" style="428" customWidth="1"/>
    <col min="14079" max="14079" width="0" style="428" hidden="1" customWidth="1"/>
    <col min="14080" max="14080" width="11.109375" style="428" customWidth="1"/>
    <col min="14081" max="14081" width="1.33203125" style="428" customWidth="1"/>
    <col min="14082" max="14082" width="14.77734375" style="428" customWidth="1"/>
    <col min="14083" max="14083" width="9.109375" style="428" customWidth="1"/>
    <col min="14084" max="14084" width="12.21875" style="428" customWidth="1"/>
    <col min="14085" max="14085" width="15.33203125" style="428" customWidth="1"/>
    <col min="14086" max="14086" width="2.109375" style="428" customWidth="1"/>
    <col min="14087" max="14087" width="15.109375" style="428" customWidth="1"/>
    <col min="14088" max="14088" width="14.21875" style="428" customWidth="1"/>
    <col min="14089" max="14089" width="1.33203125" style="428" customWidth="1"/>
    <col min="14090" max="14090" width="14.109375" style="428" customWidth="1"/>
    <col min="14091" max="14091" width="1.33203125" style="428" customWidth="1"/>
    <col min="14092" max="14092" width="14.109375" style="428" customWidth="1"/>
    <col min="14093" max="14093" width="1.33203125" style="428" customWidth="1"/>
    <col min="14094" max="14094" width="12.21875" style="428" customWidth="1"/>
    <col min="14095" max="14331" width="9.21875" style="428"/>
    <col min="14332" max="14332" width="7.21875" style="428" customWidth="1"/>
    <col min="14333" max="14333" width="25.88671875" style="428" customWidth="1"/>
    <col min="14334" max="14334" width="11.109375" style="428" customWidth="1"/>
    <col min="14335" max="14335" width="0" style="428" hidden="1" customWidth="1"/>
    <col min="14336" max="14336" width="11.109375" style="428" customWidth="1"/>
    <col min="14337" max="14337" width="1.33203125" style="428" customWidth="1"/>
    <col min="14338" max="14338" width="14.77734375" style="428" customWidth="1"/>
    <col min="14339" max="14339" width="9.109375" style="428" customWidth="1"/>
    <col min="14340" max="14340" width="12.21875" style="428" customWidth="1"/>
    <col min="14341" max="14341" width="15.33203125" style="428" customWidth="1"/>
    <col min="14342" max="14342" width="2.109375" style="428" customWidth="1"/>
    <col min="14343" max="14343" width="15.109375" style="428" customWidth="1"/>
    <col min="14344" max="14344" width="14.21875" style="428" customWidth="1"/>
    <col min="14345" max="14345" width="1.33203125" style="428" customWidth="1"/>
    <col min="14346" max="14346" width="14.109375" style="428" customWidth="1"/>
    <col min="14347" max="14347" width="1.33203125" style="428" customWidth="1"/>
    <col min="14348" max="14348" width="14.109375" style="428" customWidth="1"/>
    <col min="14349" max="14349" width="1.33203125" style="428" customWidth="1"/>
    <col min="14350" max="14350" width="12.21875" style="428" customWidth="1"/>
    <col min="14351" max="14587" width="9.21875" style="428"/>
    <col min="14588" max="14588" width="7.21875" style="428" customWidth="1"/>
    <col min="14589" max="14589" width="25.88671875" style="428" customWidth="1"/>
    <col min="14590" max="14590" width="11.109375" style="428" customWidth="1"/>
    <col min="14591" max="14591" width="0" style="428" hidden="1" customWidth="1"/>
    <col min="14592" max="14592" width="11.109375" style="428" customWidth="1"/>
    <col min="14593" max="14593" width="1.33203125" style="428" customWidth="1"/>
    <col min="14594" max="14594" width="14.77734375" style="428" customWidth="1"/>
    <col min="14595" max="14595" width="9.109375" style="428" customWidth="1"/>
    <col min="14596" max="14596" width="12.21875" style="428" customWidth="1"/>
    <col min="14597" max="14597" width="15.33203125" style="428" customWidth="1"/>
    <col min="14598" max="14598" width="2.109375" style="428" customWidth="1"/>
    <col min="14599" max="14599" width="15.109375" style="428" customWidth="1"/>
    <col min="14600" max="14600" width="14.21875" style="428" customWidth="1"/>
    <col min="14601" max="14601" width="1.33203125" style="428" customWidth="1"/>
    <col min="14602" max="14602" width="14.109375" style="428" customWidth="1"/>
    <col min="14603" max="14603" width="1.33203125" style="428" customWidth="1"/>
    <col min="14604" max="14604" width="14.109375" style="428" customWidth="1"/>
    <col min="14605" max="14605" width="1.33203125" style="428" customWidth="1"/>
    <col min="14606" max="14606" width="12.21875" style="428" customWidth="1"/>
    <col min="14607" max="14843" width="9.21875" style="428"/>
    <col min="14844" max="14844" width="7.21875" style="428" customWidth="1"/>
    <col min="14845" max="14845" width="25.88671875" style="428" customWidth="1"/>
    <col min="14846" max="14846" width="11.109375" style="428" customWidth="1"/>
    <col min="14847" max="14847" width="0" style="428" hidden="1" customWidth="1"/>
    <col min="14848" max="14848" width="11.109375" style="428" customWidth="1"/>
    <col min="14849" max="14849" width="1.33203125" style="428" customWidth="1"/>
    <col min="14850" max="14850" width="14.77734375" style="428" customWidth="1"/>
    <col min="14851" max="14851" width="9.109375" style="428" customWidth="1"/>
    <col min="14852" max="14852" width="12.21875" style="428" customWidth="1"/>
    <col min="14853" max="14853" width="15.33203125" style="428" customWidth="1"/>
    <col min="14854" max="14854" width="2.109375" style="428" customWidth="1"/>
    <col min="14855" max="14855" width="15.109375" style="428" customWidth="1"/>
    <col min="14856" max="14856" width="14.21875" style="428" customWidth="1"/>
    <col min="14857" max="14857" width="1.33203125" style="428" customWidth="1"/>
    <col min="14858" max="14858" width="14.109375" style="428" customWidth="1"/>
    <col min="14859" max="14859" width="1.33203125" style="428" customWidth="1"/>
    <col min="14860" max="14860" width="14.109375" style="428" customWidth="1"/>
    <col min="14861" max="14861" width="1.33203125" style="428" customWidth="1"/>
    <col min="14862" max="14862" width="12.21875" style="428" customWidth="1"/>
    <col min="14863" max="15099" width="9.21875" style="428"/>
    <col min="15100" max="15100" width="7.21875" style="428" customWidth="1"/>
    <col min="15101" max="15101" width="25.88671875" style="428" customWidth="1"/>
    <col min="15102" max="15102" width="11.109375" style="428" customWidth="1"/>
    <col min="15103" max="15103" width="0" style="428" hidden="1" customWidth="1"/>
    <col min="15104" max="15104" width="11.109375" style="428" customWidth="1"/>
    <col min="15105" max="15105" width="1.33203125" style="428" customWidth="1"/>
    <col min="15106" max="15106" width="14.77734375" style="428" customWidth="1"/>
    <col min="15107" max="15107" width="9.109375" style="428" customWidth="1"/>
    <col min="15108" max="15108" width="12.21875" style="428" customWidth="1"/>
    <col min="15109" max="15109" width="15.33203125" style="428" customWidth="1"/>
    <col min="15110" max="15110" width="2.109375" style="428" customWidth="1"/>
    <col min="15111" max="15111" width="15.109375" style="428" customWidth="1"/>
    <col min="15112" max="15112" width="14.21875" style="428" customWidth="1"/>
    <col min="15113" max="15113" width="1.33203125" style="428" customWidth="1"/>
    <col min="15114" max="15114" width="14.109375" style="428" customWidth="1"/>
    <col min="15115" max="15115" width="1.33203125" style="428" customWidth="1"/>
    <col min="15116" max="15116" width="14.109375" style="428" customWidth="1"/>
    <col min="15117" max="15117" width="1.33203125" style="428" customWidth="1"/>
    <col min="15118" max="15118" width="12.21875" style="428" customWidth="1"/>
    <col min="15119" max="15355" width="9.21875" style="428"/>
    <col min="15356" max="15356" width="7.21875" style="428" customWidth="1"/>
    <col min="15357" max="15357" width="25.88671875" style="428" customWidth="1"/>
    <col min="15358" max="15358" width="11.109375" style="428" customWidth="1"/>
    <col min="15359" max="15359" width="0" style="428" hidden="1" customWidth="1"/>
    <col min="15360" max="15360" width="11.109375" style="428" customWidth="1"/>
    <col min="15361" max="15361" width="1.33203125" style="428" customWidth="1"/>
    <col min="15362" max="15362" width="14.77734375" style="428" customWidth="1"/>
    <col min="15363" max="15363" width="9.109375" style="428" customWidth="1"/>
    <col min="15364" max="15364" width="12.21875" style="428" customWidth="1"/>
    <col min="15365" max="15365" width="15.33203125" style="428" customWidth="1"/>
    <col min="15366" max="15366" width="2.109375" style="428" customWidth="1"/>
    <col min="15367" max="15367" width="15.109375" style="428" customWidth="1"/>
    <col min="15368" max="15368" width="14.21875" style="428" customWidth="1"/>
    <col min="15369" max="15369" width="1.33203125" style="428" customWidth="1"/>
    <col min="15370" max="15370" width="14.109375" style="428" customWidth="1"/>
    <col min="15371" max="15371" width="1.33203125" style="428" customWidth="1"/>
    <col min="15372" max="15372" width="14.109375" style="428" customWidth="1"/>
    <col min="15373" max="15373" width="1.33203125" style="428" customWidth="1"/>
    <col min="15374" max="15374" width="12.21875" style="428" customWidth="1"/>
    <col min="15375" max="15611" width="9.21875" style="428"/>
    <col min="15612" max="15612" width="7.21875" style="428" customWidth="1"/>
    <col min="15613" max="15613" width="25.88671875" style="428" customWidth="1"/>
    <col min="15614" max="15614" width="11.109375" style="428" customWidth="1"/>
    <col min="15615" max="15615" width="0" style="428" hidden="1" customWidth="1"/>
    <col min="15616" max="15616" width="11.109375" style="428" customWidth="1"/>
    <col min="15617" max="15617" width="1.33203125" style="428" customWidth="1"/>
    <col min="15618" max="15618" width="14.77734375" style="428" customWidth="1"/>
    <col min="15619" max="15619" width="9.109375" style="428" customWidth="1"/>
    <col min="15620" max="15620" width="12.21875" style="428" customWidth="1"/>
    <col min="15621" max="15621" width="15.33203125" style="428" customWidth="1"/>
    <col min="15622" max="15622" width="2.109375" style="428" customWidth="1"/>
    <col min="15623" max="15623" width="15.109375" style="428" customWidth="1"/>
    <col min="15624" max="15624" width="14.21875" style="428" customWidth="1"/>
    <col min="15625" max="15625" width="1.33203125" style="428" customWidth="1"/>
    <col min="15626" max="15626" width="14.109375" style="428" customWidth="1"/>
    <col min="15627" max="15627" width="1.33203125" style="428" customWidth="1"/>
    <col min="15628" max="15628" width="14.109375" style="428" customWidth="1"/>
    <col min="15629" max="15629" width="1.33203125" style="428" customWidth="1"/>
    <col min="15630" max="15630" width="12.21875" style="428" customWidth="1"/>
    <col min="15631" max="15867" width="9.21875" style="428"/>
    <col min="15868" max="15868" width="7.21875" style="428" customWidth="1"/>
    <col min="15869" max="15869" width="25.88671875" style="428" customWidth="1"/>
    <col min="15870" max="15870" width="11.109375" style="428" customWidth="1"/>
    <col min="15871" max="15871" width="0" style="428" hidden="1" customWidth="1"/>
    <col min="15872" max="15872" width="11.109375" style="428" customWidth="1"/>
    <col min="15873" max="15873" width="1.33203125" style="428" customWidth="1"/>
    <col min="15874" max="15874" width="14.77734375" style="428" customWidth="1"/>
    <col min="15875" max="15875" width="9.109375" style="428" customWidth="1"/>
    <col min="15876" max="15876" width="12.21875" style="428" customWidth="1"/>
    <col min="15877" max="15877" width="15.33203125" style="428" customWidth="1"/>
    <col min="15878" max="15878" width="2.109375" style="428" customWidth="1"/>
    <col min="15879" max="15879" width="15.109375" style="428" customWidth="1"/>
    <col min="15880" max="15880" width="14.21875" style="428" customWidth="1"/>
    <col min="15881" max="15881" width="1.33203125" style="428" customWidth="1"/>
    <col min="15882" max="15882" width="14.109375" style="428" customWidth="1"/>
    <col min="15883" max="15883" width="1.33203125" style="428" customWidth="1"/>
    <col min="15884" max="15884" width="14.109375" style="428" customWidth="1"/>
    <col min="15885" max="15885" width="1.33203125" style="428" customWidth="1"/>
    <col min="15886" max="15886" width="12.21875" style="428" customWidth="1"/>
    <col min="15887" max="16123" width="9.21875" style="428"/>
    <col min="16124" max="16124" width="7.21875" style="428" customWidth="1"/>
    <col min="16125" max="16125" width="25.88671875" style="428" customWidth="1"/>
    <col min="16126" max="16126" width="11.109375" style="428" customWidth="1"/>
    <col min="16127" max="16127" width="0" style="428" hidden="1" customWidth="1"/>
    <col min="16128" max="16128" width="11.109375" style="428" customWidth="1"/>
    <col min="16129" max="16129" width="1.33203125" style="428" customWidth="1"/>
    <col min="16130" max="16130" width="14.77734375" style="428" customWidth="1"/>
    <col min="16131" max="16131" width="9.109375" style="428" customWidth="1"/>
    <col min="16132" max="16132" width="12.21875" style="428" customWidth="1"/>
    <col min="16133" max="16133" width="15.33203125" style="428" customWidth="1"/>
    <col min="16134" max="16134" width="2.109375" style="428" customWidth="1"/>
    <col min="16135" max="16135" width="15.109375" style="428" customWidth="1"/>
    <col min="16136" max="16136" width="14.21875" style="428" customWidth="1"/>
    <col min="16137" max="16137" width="1.33203125" style="428" customWidth="1"/>
    <col min="16138" max="16138" width="14.109375" style="428" customWidth="1"/>
    <col min="16139" max="16139" width="1.33203125" style="428" customWidth="1"/>
    <col min="16140" max="16140" width="14.109375" style="428" customWidth="1"/>
    <col min="16141" max="16141" width="1.33203125" style="428" customWidth="1"/>
    <col min="16142" max="16142" width="12.21875" style="428" customWidth="1"/>
    <col min="16143" max="16384" width="9.21875" style="428"/>
  </cols>
  <sheetData>
    <row r="1" spans="1:21">
      <c r="A1" s="370" t="s">
        <v>495</v>
      </c>
      <c r="B1" s="424"/>
      <c r="C1" s="424"/>
      <c r="D1" s="424"/>
      <c r="E1" s="425"/>
      <c r="F1" s="426"/>
      <c r="G1" s="424"/>
      <c r="H1" s="424"/>
      <c r="I1" s="424"/>
      <c r="J1" s="424"/>
      <c r="K1" s="424"/>
      <c r="L1" s="424"/>
      <c r="M1" s="424"/>
      <c r="N1" s="424"/>
      <c r="O1" s="424"/>
      <c r="P1" s="424"/>
      <c r="Q1" s="427"/>
      <c r="R1" s="424"/>
      <c r="S1" s="424"/>
      <c r="T1" s="424"/>
      <c r="U1" s="424"/>
    </row>
    <row r="2" spans="1:21">
      <c r="A2" s="429" t="s">
        <v>1524</v>
      </c>
      <c r="B2" s="424"/>
      <c r="C2" s="424"/>
      <c r="D2" s="424"/>
      <c r="E2" s="425"/>
      <c r="F2" s="426"/>
      <c r="G2" s="424"/>
      <c r="H2" s="424"/>
      <c r="I2" s="424"/>
      <c r="J2" s="424"/>
      <c r="K2" s="424"/>
      <c r="L2" s="424"/>
      <c r="M2" s="424"/>
      <c r="N2" s="424"/>
      <c r="O2" s="424"/>
      <c r="P2" s="424"/>
      <c r="Q2" s="427"/>
      <c r="R2" s="424"/>
      <c r="S2" s="424"/>
      <c r="T2" s="424"/>
      <c r="U2" s="424"/>
    </row>
    <row r="3" spans="1:21">
      <c r="A3" s="430" t="str">
        <f>'WP - Allocation Factors'!A3</f>
        <v>Fiscal Year Ending April 30, 2016</v>
      </c>
      <c r="B3" s="424"/>
      <c r="C3" s="424"/>
      <c r="D3" s="424"/>
      <c r="E3" s="425"/>
      <c r="F3" s="426"/>
      <c r="G3" s="424"/>
      <c r="H3" s="424"/>
      <c r="I3" s="424"/>
      <c r="J3" s="424"/>
      <c r="K3" s="424"/>
      <c r="L3" s="424"/>
      <c r="M3" s="424"/>
      <c r="N3" s="424"/>
      <c r="O3" s="424"/>
      <c r="P3" s="424"/>
      <c r="Q3" s="427"/>
      <c r="R3" s="424"/>
      <c r="S3" s="424"/>
      <c r="T3" s="424"/>
      <c r="U3" s="424"/>
    </row>
    <row r="4" spans="1:21">
      <c r="A4" s="430"/>
      <c r="B4" s="424"/>
      <c r="C4" s="424"/>
      <c r="D4" s="424"/>
      <c r="E4" s="425"/>
      <c r="F4" s="426"/>
      <c r="G4" s="424"/>
      <c r="H4" s="424"/>
      <c r="I4" s="424"/>
      <c r="J4" s="424"/>
      <c r="K4" s="424"/>
      <c r="L4" s="424"/>
      <c r="M4" s="424"/>
      <c r="N4" s="424"/>
      <c r="O4" s="424"/>
      <c r="P4" s="424"/>
      <c r="Q4" s="427"/>
      <c r="R4" s="424"/>
      <c r="S4" s="424"/>
      <c r="T4" s="424"/>
      <c r="U4" s="424"/>
    </row>
    <row r="5" spans="1:21">
      <c r="G5" s="433" t="s">
        <v>1525</v>
      </c>
      <c r="H5" s="433"/>
      <c r="I5" s="433"/>
      <c r="J5" s="433"/>
      <c r="K5" s="433"/>
      <c r="L5" s="433"/>
      <c r="M5" s="433"/>
      <c r="N5" s="433"/>
      <c r="O5" s="433"/>
      <c r="P5" s="433"/>
      <c r="Q5" s="434"/>
      <c r="R5" s="434"/>
      <c r="S5" s="434"/>
      <c r="T5" s="434"/>
    </row>
    <row r="6" spans="1:21">
      <c r="G6" s="433"/>
      <c r="H6" s="433"/>
      <c r="I6" s="433"/>
      <c r="J6" s="433"/>
      <c r="K6" s="434"/>
      <c r="L6" s="433"/>
      <c r="M6" s="434"/>
      <c r="N6" s="434"/>
      <c r="O6" s="434"/>
      <c r="P6" s="434"/>
      <c r="Q6" s="434"/>
      <c r="R6" s="434"/>
      <c r="S6" s="434"/>
      <c r="T6" s="434"/>
    </row>
    <row r="7" spans="1:21" s="435" customFormat="1" ht="14.25" customHeight="1">
      <c r="F7" s="436"/>
      <c r="G7" s="433" t="s">
        <v>501</v>
      </c>
      <c r="H7" s="433"/>
      <c r="I7" s="433"/>
      <c r="J7" s="433"/>
      <c r="L7" s="437" t="s">
        <v>1526</v>
      </c>
      <c r="N7" s="434" t="s">
        <v>2</v>
      </c>
      <c r="P7" s="435" t="s">
        <v>1527</v>
      </c>
      <c r="Q7" s="436"/>
    </row>
    <row r="8" spans="1:21" s="435" customFormat="1" ht="14.25" customHeight="1">
      <c r="C8" s="435" t="s">
        <v>1528</v>
      </c>
      <c r="D8" s="435" t="s">
        <v>122</v>
      </c>
      <c r="E8" s="438" t="s">
        <v>1529</v>
      </c>
      <c r="F8" s="439"/>
      <c r="G8" s="435" t="s">
        <v>1530</v>
      </c>
      <c r="J8" s="435" t="s">
        <v>1531</v>
      </c>
      <c r="K8" s="434"/>
      <c r="L8" s="435" t="s">
        <v>9</v>
      </c>
      <c r="P8" s="435" t="s">
        <v>1532</v>
      </c>
      <c r="Q8" s="436"/>
      <c r="R8" s="433" t="s">
        <v>465</v>
      </c>
      <c r="S8" s="433"/>
      <c r="T8" s="433"/>
    </row>
    <row r="9" spans="1:21" s="435" customFormat="1" ht="14.25" customHeight="1" thickBot="1">
      <c r="A9" s="440" t="s">
        <v>527</v>
      </c>
      <c r="B9" s="440" t="s">
        <v>529</v>
      </c>
      <c r="C9" s="440" t="s">
        <v>1533</v>
      </c>
      <c r="D9" s="440"/>
      <c r="E9" s="441" t="s">
        <v>442</v>
      </c>
      <c r="F9" s="439"/>
      <c r="G9" s="440" t="s">
        <v>1534</v>
      </c>
      <c r="H9" s="440" t="s">
        <v>1535</v>
      </c>
      <c r="I9" s="440" t="s">
        <v>9</v>
      </c>
      <c r="J9" s="440" t="s">
        <v>1536</v>
      </c>
      <c r="K9" s="436"/>
      <c r="L9" s="440" t="s">
        <v>1537</v>
      </c>
      <c r="N9" s="440" t="s">
        <v>507</v>
      </c>
      <c r="P9" s="440" t="s">
        <v>505</v>
      </c>
      <c r="Q9" s="436"/>
      <c r="R9" s="440" t="s">
        <v>1538</v>
      </c>
      <c r="S9" s="440" t="s">
        <v>517</v>
      </c>
      <c r="T9" s="440" t="s">
        <v>9</v>
      </c>
    </row>
    <row r="10" spans="1:21" s="435" customFormat="1" ht="14.25" customHeight="1">
      <c r="E10" s="438"/>
      <c r="F10" s="439"/>
      <c r="K10" s="436"/>
      <c r="Q10" s="436"/>
    </row>
    <row r="11" spans="1:21">
      <c r="A11" s="428">
        <v>2100</v>
      </c>
      <c r="B11" s="428" t="s">
        <v>1539</v>
      </c>
      <c r="C11" s="428" t="s">
        <v>1533</v>
      </c>
      <c r="D11" s="428" t="s">
        <v>2</v>
      </c>
      <c r="E11" s="442">
        <v>2375747.6</v>
      </c>
      <c r="G11" s="443"/>
      <c r="H11" s="443"/>
      <c r="I11" s="431">
        <f t="shared" ref="I11:I74" si="0">G11+H11</f>
        <v>0</v>
      </c>
      <c r="J11" s="443"/>
      <c r="K11" s="443"/>
    </row>
    <row r="12" spans="1:21">
      <c r="A12" s="428">
        <v>3010</v>
      </c>
      <c r="B12" s="428" t="s">
        <v>1540</v>
      </c>
      <c r="C12" s="428" t="s">
        <v>1533</v>
      </c>
      <c r="D12" s="428" t="s">
        <v>2</v>
      </c>
      <c r="E12" s="442">
        <v>104007417.91</v>
      </c>
      <c r="G12" s="443"/>
      <c r="H12" s="443"/>
      <c r="I12" s="431">
        <f t="shared" si="0"/>
        <v>0</v>
      </c>
      <c r="J12" s="443"/>
      <c r="K12" s="443"/>
    </row>
    <row r="13" spans="1:21">
      <c r="A13" s="428">
        <v>3020</v>
      </c>
      <c r="B13" s="428" t="s">
        <v>1541</v>
      </c>
      <c r="C13" s="428" t="s">
        <v>1542</v>
      </c>
      <c r="D13" s="428" t="s">
        <v>2</v>
      </c>
      <c r="E13" s="442">
        <v>87689126.939999998</v>
      </c>
      <c r="G13" s="443"/>
      <c r="H13" s="443"/>
      <c r="I13" s="431">
        <f t="shared" si="0"/>
        <v>0</v>
      </c>
      <c r="J13" s="443"/>
      <c r="K13" s="443"/>
    </row>
    <row r="14" spans="1:21">
      <c r="A14" s="428">
        <v>3040</v>
      </c>
      <c r="B14" s="428" t="s">
        <v>1543</v>
      </c>
      <c r="C14" s="428" t="s">
        <v>1542</v>
      </c>
      <c r="D14" s="428" t="s">
        <v>2</v>
      </c>
      <c r="E14" s="442">
        <v>170807.46</v>
      </c>
      <c r="G14" s="443"/>
      <c r="H14" s="443"/>
      <c r="I14" s="431">
        <f t="shared" si="0"/>
        <v>0</v>
      </c>
      <c r="J14" s="443"/>
      <c r="K14" s="443"/>
    </row>
    <row r="15" spans="1:21">
      <c r="A15" s="428">
        <v>3050</v>
      </c>
      <c r="B15" s="428" t="s">
        <v>1544</v>
      </c>
      <c r="C15" s="428" t="s">
        <v>1533</v>
      </c>
      <c r="D15" s="428" t="s">
        <v>2</v>
      </c>
      <c r="E15" s="442">
        <v>170807.46</v>
      </c>
      <c r="G15" s="443"/>
      <c r="H15" s="443"/>
      <c r="I15" s="431">
        <f t="shared" si="0"/>
        <v>0</v>
      </c>
      <c r="J15" s="443"/>
      <c r="K15" s="443"/>
    </row>
    <row r="16" spans="1:21">
      <c r="A16" s="428">
        <v>3060</v>
      </c>
      <c r="B16" s="428" t="s">
        <v>1545</v>
      </c>
      <c r="C16" s="428" t="s">
        <v>1542</v>
      </c>
      <c r="D16" s="428" t="s">
        <v>2</v>
      </c>
      <c r="E16" s="442">
        <v>112832622</v>
      </c>
      <c r="G16" s="443"/>
      <c r="H16" s="443"/>
      <c r="I16" s="431">
        <f t="shared" si="0"/>
        <v>0</v>
      </c>
      <c r="J16" s="443"/>
      <c r="K16" s="443"/>
    </row>
    <row r="17" spans="1:11" s="428" customFormat="1">
      <c r="A17" s="428">
        <v>3070</v>
      </c>
      <c r="B17" s="428" t="s">
        <v>1546</v>
      </c>
      <c r="C17" s="428" t="s">
        <v>1533</v>
      </c>
      <c r="D17" s="428" t="s">
        <v>2</v>
      </c>
      <c r="E17" s="442">
        <v>112832622</v>
      </c>
      <c r="F17" s="432"/>
      <c r="G17" s="443"/>
      <c r="H17" s="443"/>
      <c r="I17" s="431">
        <f t="shared" si="0"/>
        <v>0</v>
      </c>
      <c r="J17" s="443"/>
      <c r="K17" s="443"/>
    </row>
    <row r="18" spans="1:11" s="428" customFormat="1">
      <c r="A18" s="428">
        <v>3099</v>
      </c>
      <c r="B18" s="428" t="s">
        <v>1547</v>
      </c>
      <c r="C18" s="428" t="s">
        <v>1533</v>
      </c>
      <c r="D18" s="428" t="s">
        <v>2</v>
      </c>
      <c r="E18" s="442">
        <v>0</v>
      </c>
      <c r="F18" s="432"/>
      <c r="G18" s="443"/>
      <c r="H18" s="443"/>
      <c r="I18" s="431">
        <f t="shared" si="0"/>
        <v>0</v>
      </c>
      <c r="J18" s="443"/>
      <c r="K18" s="443"/>
    </row>
    <row r="19" spans="1:11" s="428" customFormat="1">
      <c r="A19" s="428">
        <v>101001</v>
      </c>
      <c r="B19" s="428" t="s">
        <v>1548</v>
      </c>
      <c r="C19" s="428" t="s">
        <v>1542</v>
      </c>
      <c r="D19" s="428" t="s">
        <v>2</v>
      </c>
      <c r="E19" s="442">
        <v>0</v>
      </c>
      <c r="F19" s="432"/>
      <c r="I19" s="431">
        <f t="shared" si="0"/>
        <v>0</v>
      </c>
    </row>
    <row r="20" spans="1:11" s="428" customFormat="1">
      <c r="A20" s="428">
        <v>101006</v>
      </c>
      <c r="B20" s="428" t="s">
        <v>1549</v>
      </c>
      <c r="C20" s="428" t="s">
        <v>1542</v>
      </c>
      <c r="D20" s="428" t="s">
        <v>2</v>
      </c>
      <c r="E20" s="442">
        <v>0</v>
      </c>
      <c r="F20" s="432"/>
      <c r="I20" s="431">
        <f t="shared" si="0"/>
        <v>0</v>
      </c>
    </row>
    <row r="21" spans="1:11" s="428" customFormat="1">
      <c r="A21" s="428">
        <v>101009</v>
      </c>
      <c r="B21" s="428" t="s">
        <v>1550</v>
      </c>
      <c r="C21" s="428" t="s">
        <v>1542</v>
      </c>
      <c r="D21" s="428" t="s">
        <v>2</v>
      </c>
      <c r="E21" s="442">
        <v>0</v>
      </c>
      <c r="F21" s="432"/>
      <c r="I21" s="431">
        <f t="shared" si="0"/>
        <v>0</v>
      </c>
    </row>
    <row r="22" spans="1:11" s="428" customFormat="1">
      <c r="A22" s="428">
        <v>101101</v>
      </c>
      <c r="B22" s="428" t="s">
        <v>1551</v>
      </c>
      <c r="C22" s="428" t="s">
        <v>1533</v>
      </c>
      <c r="D22" s="428" t="s">
        <v>122</v>
      </c>
      <c r="E22" s="442">
        <v>1845.54</v>
      </c>
      <c r="F22" s="432"/>
      <c r="I22" s="431">
        <f t="shared" si="0"/>
        <v>0</v>
      </c>
    </row>
    <row r="23" spans="1:11" s="428" customFormat="1">
      <c r="A23" s="428">
        <v>101102</v>
      </c>
      <c r="B23" s="428" t="s">
        <v>1552</v>
      </c>
      <c r="C23" s="428" t="s">
        <v>1533</v>
      </c>
      <c r="D23" s="428" t="s">
        <v>122</v>
      </c>
      <c r="E23" s="442">
        <v>289134.28999999998</v>
      </c>
      <c r="F23" s="432"/>
      <c r="I23" s="431">
        <f t="shared" si="0"/>
        <v>0</v>
      </c>
    </row>
    <row r="24" spans="1:11" s="428" customFormat="1">
      <c r="A24" s="428">
        <v>101103</v>
      </c>
      <c r="B24" s="428" t="s">
        <v>1553</v>
      </c>
      <c r="C24" s="428" t="s">
        <v>1542</v>
      </c>
      <c r="D24" s="428" t="s">
        <v>2</v>
      </c>
      <c r="E24" s="442">
        <v>292552.57</v>
      </c>
      <c r="F24" s="432"/>
      <c r="I24" s="431">
        <f t="shared" si="0"/>
        <v>0</v>
      </c>
    </row>
    <row r="25" spans="1:11" s="428" customFormat="1">
      <c r="A25" s="428">
        <v>101105</v>
      </c>
      <c r="B25" s="428" t="s">
        <v>1554</v>
      </c>
      <c r="C25" s="428" t="s">
        <v>1542</v>
      </c>
      <c r="D25" s="428" t="s">
        <v>2</v>
      </c>
      <c r="E25" s="442">
        <v>0</v>
      </c>
      <c r="F25" s="432"/>
      <c r="I25" s="431">
        <f t="shared" si="0"/>
        <v>0</v>
      </c>
    </row>
    <row r="26" spans="1:11" s="428" customFormat="1">
      <c r="A26" s="428">
        <v>101106</v>
      </c>
      <c r="B26" s="428" t="s">
        <v>1555</v>
      </c>
      <c r="C26" s="428" t="s">
        <v>1542</v>
      </c>
      <c r="D26" s="428" t="s">
        <v>2</v>
      </c>
      <c r="E26" s="442">
        <v>1088677.42</v>
      </c>
      <c r="F26" s="432"/>
      <c r="I26" s="431">
        <f t="shared" si="0"/>
        <v>0</v>
      </c>
    </row>
    <row r="27" spans="1:11" s="428" customFormat="1">
      <c r="A27" s="428">
        <v>101108</v>
      </c>
      <c r="B27" s="428" t="s">
        <v>1556</v>
      </c>
      <c r="C27" s="428" t="s">
        <v>1542</v>
      </c>
      <c r="D27" s="428" t="s">
        <v>2</v>
      </c>
      <c r="E27" s="442">
        <v>0</v>
      </c>
      <c r="F27" s="432"/>
      <c r="I27" s="431">
        <f t="shared" si="0"/>
        <v>0</v>
      </c>
    </row>
    <row r="28" spans="1:11" s="428" customFormat="1">
      <c r="A28" s="428">
        <v>101109</v>
      </c>
      <c r="B28" s="428" t="s">
        <v>1557</v>
      </c>
      <c r="C28" s="428" t="s">
        <v>1542</v>
      </c>
      <c r="D28" s="428" t="s">
        <v>2</v>
      </c>
      <c r="E28" s="442">
        <v>2648399</v>
      </c>
      <c r="F28" s="432"/>
      <c r="I28" s="431">
        <f t="shared" si="0"/>
        <v>0</v>
      </c>
    </row>
    <row r="29" spans="1:11" s="428" customFormat="1">
      <c r="A29" s="428">
        <v>101111</v>
      </c>
      <c r="B29" s="428" t="s">
        <v>1558</v>
      </c>
      <c r="C29" s="428" t="s">
        <v>1542</v>
      </c>
      <c r="D29" s="428" t="s">
        <v>2</v>
      </c>
      <c r="E29" s="442">
        <v>0</v>
      </c>
      <c r="F29" s="432"/>
      <c r="I29" s="431">
        <f t="shared" si="0"/>
        <v>0</v>
      </c>
    </row>
    <row r="30" spans="1:11" s="428" customFormat="1">
      <c r="A30" s="428">
        <v>101113</v>
      </c>
      <c r="B30" s="428" t="s">
        <v>1559</v>
      </c>
      <c r="C30" s="428" t="s">
        <v>1542</v>
      </c>
      <c r="D30" s="428" t="s">
        <v>2</v>
      </c>
      <c r="E30" s="442">
        <v>0.01</v>
      </c>
      <c r="F30" s="432"/>
      <c r="I30" s="431">
        <f t="shared" si="0"/>
        <v>0</v>
      </c>
    </row>
    <row r="31" spans="1:11" s="428" customFormat="1">
      <c r="A31" s="428">
        <v>101604</v>
      </c>
      <c r="B31" s="428" t="s">
        <v>1560</v>
      </c>
      <c r="C31" s="428" t="s">
        <v>1542</v>
      </c>
      <c r="D31" s="428" t="s">
        <v>2</v>
      </c>
      <c r="E31" s="442">
        <v>0</v>
      </c>
      <c r="F31" s="432"/>
      <c r="I31" s="431">
        <f t="shared" si="0"/>
        <v>0</v>
      </c>
    </row>
    <row r="32" spans="1:11" s="428" customFormat="1">
      <c r="A32" s="428">
        <v>102000</v>
      </c>
      <c r="B32" s="428" t="s">
        <v>1561</v>
      </c>
      <c r="C32" s="428" t="s">
        <v>1542</v>
      </c>
      <c r="D32" s="428" t="s">
        <v>2</v>
      </c>
      <c r="E32" s="442">
        <v>6650</v>
      </c>
      <c r="F32" s="432"/>
      <c r="I32" s="431">
        <f t="shared" si="0"/>
        <v>0</v>
      </c>
    </row>
    <row r="33" spans="1:9" s="428" customFormat="1">
      <c r="A33" s="428">
        <v>103010</v>
      </c>
      <c r="B33" s="428" t="s">
        <v>1562</v>
      </c>
      <c r="C33" s="428" t="s">
        <v>1542</v>
      </c>
      <c r="D33" s="428" t="s">
        <v>2</v>
      </c>
      <c r="E33" s="442">
        <v>0</v>
      </c>
      <c r="F33" s="432"/>
      <c r="I33" s="431">
        <f t="shared" si="0"/>
        <v>0</v>
      </c>
    </row>
    <row r="34" spans="1:9" s="428" customFormat="1">
      <c r="A34" s="428">
        <v>103100</v>
      </c>
      <c r="B34" s="428" t="s">
        <v>1563</v>
      </c>
      <c r="C34" s="428" t="s">
        <v>1542</v>
      </c>
      <c r="D34" s="428" t="s">
        <v>2</v>
      </c>
      <c r="E34" s="442">
        <v>550636.14</v>
      </c>
      <c r="F34" s="432"/>
      <c r="I34" s="431">
        <f t="shared" si="0"/>
        <v>0</v>
      </c>
    </row>
    <row r="35" spans="1:9" s="428" customFormat="1">
      <c r="A35" s="428">
        <v>103150</v>
      </c>
      <c r="B35" s="428" t="s">
        <v>1564</v>
      </c>
      <c r="C35" s="428" t="s">
        <v>1542</v>
      </c>
      <c r="D35" s="428" t="s">
        <v>2</v>
      </c>
      <c r="E35" s="442">
        <v>8179492.1100000003</v>
      </c>
      <c r="F35" s="432"/>
      <c r="I35" s="431">
        <f t="shared" si="0"/>
        <v>0</v>
      </c>
    </row>
    <row r="36" spans="1:9" s="428" customFormat="1">
      <c r="A36" s="428">
        <v>104000</v>
      </c>
      <c r="B36" s="428" t="s">
        <v>1565</v>
      </c>
      <c r="C36" s="428" t="s">
        <v>1542</v>
      </c>
      <c r="D36" s="428" t="s">
        <v>2</v>
      </c>
      <c r="E36" s="442">
        <v>5845909.4900000002</v>
      </c>
      <c r="F36" s="432"/>
      <c r="I36" s="431">
        <f t="shared" si="0"/>
        <v>0</v>
      </c>
    </row>
    <row r="37" spans="1:9" s="428" customFormat="1">
      <c r="A37" s="428">
        <v>104001</v>
      </c>
      <c r="B37" s="428" t="s">
        <v>1566</v>
      </c>
      <c r="C37" s="428" t="s">
        <v>1542</v>
      </c>
      <c r="D37" s="428" t="s">
        <v>2</v>
      </c>
      <c r="E37" s="442">
        <v>0</v>
      </c>
      <c r="F37" s="432"/>
      <c r="I37" s="431">
        <f t="shared" si="0"/>
        <v>0</v>
      </c>
    </row>
    <row r="38" spans="1:9" s="428" customFormat="1">
      <c r="A38" s="428">
        <v>104002</v>
      </c>
      <c r="B38" s="428" t="s">
        <v>1567</v>
      </c>
      <c r="C38" s="428" t="s">
        <v>1542</v>
      </c>
      <c r="D38" s="428" t="s">
        <v>2</v>
      </c>
      <c r="E38" s="442">
        <v>0</v>
      </c>
      <c r="F38" s="432"/>
      <c r="I38" s="431">
        <f t="shared" si="0"/>
        <v>0</v>
      </c>
    </row>
    <row r="39" spans="1:9" s="428" customFormat="1">
      <c r="A39" s="428">
        <v>115000</v>
      </c>
      <c r="B39" s="428" t="s">
        <v>1568</v>
      </c>
      <c r="C39" s="428" t="s">
        <v>1542</v>
      </c>
      <c r="D39" s="428" t="s">
        <v>2</v>
      </c>
      <c r="E39" s="442">
        <v>5014183.04</v>
      </c>
      <c r="F39" s="432"/>
      <c r="I39" s="431">
        <f t="shared" si="0"/>
        <v>0</v>
      </c>
    </row>
    <row r="40" spans="1:9" s="428" customFormat="1">
      <c r="A40" s="428">
        <v>115002</v>
      </c>
      <c r="B40" s="428" t="s">
        <v>1569</v>
      </c>
      <c r="C40" s="428" t="s">
        <v>1542</v>
      </c>
      <c r="D40" s="428" t="s">
        <v>2</v>
      </c>
      <c r="E40" s="442">
        <v>2646154.71</v>
      </c>
      <c r="F40" s="432"/>
      <c r="I40" s="431">
        <f t="shared" si="0"/>
        <v>0</v>
      </c>
    </row>
    <row r="41" spans="1:9" s="428" customFormat="1">
      <c r="A41" s="428">
        <v>116000</v>
      </c>
      <c r="B41" s="428" t="s">
        <v>1570</v>
      </c>
      <c r="C41" s="428" t="s">
        <v>1533</v>
      </c>
      <c r="D41" s="428" t="s">
        <v>122</v>
      </c>
      <c r="E41" s="442">
        <v>1599999.55</v>
      </c>
      <c r="F41" s="432"/>
      <c r="I41" s="431">
        <f t="shared" si="0"/>
        <v>0</v>
      </c>
    </row>
    <row r="42" spans="1:9" s="428" customFormat="1">
      <c r="A42" s="428">
        <v>117000</v>
      </c>
      <c r="B42" s="428" t="s">
        <v>1571</v>
      </c>
      <c r="C42" s="428" t="s">
        <v>1542</v>
      </c>
      <c r="D42" s="428" t="s">
        <v>2</v>
      </c>
      <c r="E42" s="442">
        <v>5600213</v>
      </c>
      <c r="F42" s="432"/>
      <c r="I42" s="431">
        <f t="shared" si="0"/>
        <v>0</v>
      </c>
    </row>
    <row r="43" spans="1:9" s="428" customFormat="1">
      <c r="A43" s="428">
        <v>127000</v>
      </c>
      <c r="B43" s="428" t="s">
        <v>1572</v>
      </c>
      <c r="C43" s="428" t="s">
        <v>1542</v>
      </c>
      <c r="D43" s="428" t="s">
        <v>2</v>
      </c>
      <c r="E43" s="442">
        <v>287827.13</v>
      </c>
      <c r="F43" s="432"/>
      <c r="I43" s="431">
        <f t="shared" si="0"/>
        <v>0</v>
      </c>
    </row>
    <row r="44" spans="1:9" s="428" customFormat="1">
      <c r="A44" s="428">
        <v>127001</v>
      </c>
      <c r="B44" s="428" t="s">
        <v>1573</v>
      </c>
      <c r="C44" s="428" t="s">
        <v>1542</v>
      </c>
      <c r="D44" s="428" t="s">
        <v>2</v>
      </c>
      <c r="E44" s="442">
        <v>832</v>
      </c>
      <c r="F44" s="432"/>
      <c r="I44" s="431">
        <f t="shared" si="0"/>
        <v>0</v>
      </c>
    </row>
    <row r="45" spans="1:9" s="428" customFormat="1">
      <c r="A45" s="428">
        <v>127002</v>
      </c>
      <c r="B45" s="428" t="s">
        <v>1574</v>
      </c>
      <c r="C45" s="428" t="s">
        <v>1533</v>
      </c>
      <c r="D45" s="428" t="s">
        <v>122</v>
      </c>
      <c r="E45" s="442">
        <v>6415.43</v>
      </c>
      <c r="F45" s="432"/>
      <c r="I45" s="431">
        <f t="shared" si="0"/>
        <v>0</v>
      </c>
    </row>
    <row r="46" spans="1:9" s="428" customFormat="1">
      <c r="A46" s="428">
        <v>127005</v>
      </c>
      <c r="B46" s="428" t="s">
        <v>1575</v>
      </c>
      <c r="C46" s="428" t="s">
        <v>1542</v>
      </c>
      <c r="D46" s="428" t="s">
        <v>2</v>
      </c>
      <c r="E46" s="442">
        <v>12632</v>
      </c>
      <c r="F46" s="432"/>
      <c r="I46" s="431">
        <f t="shared" si="0"/>
        <v>0</v>
      </c>
    </row>
    <row r="47" spans="1:9" s="428" customFormat="1">
      <c r="A47" s="428">
        <v>127007</v>
      </c>
      <c r="B47" s="428" t="s">
        <v>1576</v>
      </c>
      <c r="C47" s="428" t="s">
        <v>1542</v>
      </c>
      <c r="D47" s="428" t="s">
        <v>2</v>
      </c>
      <c r="E47" s="442">
        <v>0</v>
      </c>
      <c r="F47" s="432"/>
      <c r="I47" s="431">
        <f t="shared" si="0"/>
        <v>0</v>
      </c>
    </row>
    <row r="48" spans="1:9" s="428" customFormat="1">
      <c r="A48" s="428">
        <v>127300</v>
      </c>
      <c r="B48" s="428" t="s">
        <v>1577</v>
      </c>
      <c r="C48" s="428" t="s">
        <v>1542</v>
      </c>
      <c r="D48" s="428" t="s">
        <v>2</v>
      </c>
      <c r="E48" s="442">
        <v>0</v>
      </c>
      <c r="F48" s="432"/>
      <c r="I48" s="431">
        <f t="shared" si="0"/>
        <v>0</v>
      </c>
    </row>
    <row r="49" spans="1:9" s="428" customFormat="1">
      <c r="A49" s="428">
        <v>127999</v>
      </c>
      <c r="B49" s="428" t="s">
        <v>1578</v>
      </c>
      <c r="C49" s="428" t="s">
        <v>1542</v>
      </c>
      <c r="D49" s="428" t="s">
        <v>2</v>
      </c>
      <c r="E49" s="442">
        <v>0</v>
      </c>
      <c r="F49" s="432"/>
      <c r="I49" s="431">
        <f t="shared" si="0"/>
        <v>0</v>
      </c>
    </row>
    <row r="50" spans="1:9" s="428" customFormat="1">
      <c r="A50" s="428">
        <v>128100</v>
      </c>
      <c r="B50" s="428" t="s">
        <v>1579</v>
      </c>
      <c r="C50" s="428" t="s">
        <v>1542</v>
      </c>
      <c r="D50" s="428" t="s">
        <v>2</v>
      </c>
      <c r="E50" s="442">
        <v>0</v>
      </c>
      <c r="F50" s="432"/>
      <c r="I50" s="431">
        <f t="shared" si="0"/>
        <v>0</v>
      </c>
    </row>
    <row r="51" spans="1:9" s="428" customFormat="1">
      <c r="A51" s="428">
        <v>130000</v>
      </c>
      <c r="B51" s="428" t="s">
        <v>1580</v>
      </c>
      <c r="C51" s="428" t="s">
        <v>1542</v>
      </c>
      <c r="D51" s="428" t="s">
        <v>2</v>
      </c>
      <c r="E51" s="442">
        <v>0</v>
      </c>
      <c r="F51" s="432"/>
      <c r="I51" s="431">
        <f t="shared" si="0"/>
        <v>0</v>
      </c>
    </row>
    <row r="52" spans="1:9" s="428" customFormat="1">
      <c r="A52" s="428">
        <v>130002</v>
      </c>
      <c r="B52" s="428" t="s">
        <v>1581</v>
      </c>
      <c r="C52" s="428" t="s">
        <v>1542</v>
      </c>
      <c r="D52" s="428" t="s">
        <v>2</v>
      </c>
      <c r="E52" s="442">
        <v>0</v>
      </c>
      <c r="F52" s="432"/>
      <c r="I52" s="431">
        <f t="shared" si="0"/>
        <v>0</v>
      </c>
    </row>
    <row r="53" spans="1:9" s="428" customFormat="1">
      <c r="A53" s="428">
        <v>131000</v>
      </c>
      <c r="B53" s="428" t="s">
        <v>1582</v>
      </c>
      <c r="C53" s="428" t="s">
        <v>1542</v>
      </c>
      <c r="D53" s="428" t="s">
        <v>2</v>
      </c>
      <c r="E53" s="442">
        <v>43.73</v>
      </c>
      <c r="F53" s="432"/>
      <c r="I53" s="431">
        <f t="shared" si="0"/>
        <v>0</v>
      </c>
    </row>
    <row r="54" spans="1:9" s="428" customFormat="1">
      <c r="A54" s="428">
        <v>131080</v>
      </c>
      <c r="B54" s="428" t="s">
        <v>1583</v>
      </c>
      <c r="C54" s="428" t="s">
        <v>1542</v>
      </c>
      <c r="D54" s="428" t="s">
        <v>2</v>
      </c>
      <c r="E54" s="442">
        <v>0</v>
      </c>
      <c r="F54" s="432"/>
      <c r="I54" s="431">
        <f t="shared" si="0"/>
        <v>0</v>
      </c>
    </row>
    <row r="55" spans="1:9" s="428" customFormat="1">
      <c r="A55" s="428">
        <v>131101</v>
      </c>
      <c r="B55" s="428" t="s">
        <v>1584</v>
      </c>
      <c r="C55" s="428" t="s">
        <v>1533</v>
      </c>
      <c r="D55" s="428" t="s">
        <v>122</v>
      </c>
      <c r="E55" s="442">
        <v>688647.97</v>
      </c>
      <c r="F55" s="432"/>
      <c r="I55" s="431">
        <f t="shared" si="0"/>
        <v>0</v>
      </c>
    </row>
    <row r="56" spans="1:9" s="428" customFormat="1">
      <c r="A56" s="428">
        <v>131160</v>
      </c>
      <c r="B56" s="428" t="s">
        <v>1585</v>
      </c>
      <c r="C56" s="428" t="s">
        <v>1542</v>
      </c>
      <c r="D56" s="428" t="s">
        <v>2</v>
      </c>
      <c r="E56" s="442">
        <v>0</v>
      </c>
      <c r="F56" s="432"/>
      <c r="I56" s="431">
        <f t="shared" si="0"/>
        <v>0</v>
      </c>
    </row>
    <row r="57" spans="1:9" s="428" customFormat="1">
      <c r="A57" s="428">
        <v>131300</v>
      </c>
      <c r="B57" s="428" t="s">
        <v>1586</v>
      </c>
      <c r="C57" s="428" t="s">
        <v>1542</v>
      </c>
      <c r="D57" s="428" t="s">
        <v>2</v>
      </c>
      <c r="E57" s="442">
        <v>0</v>
      </c>
      <c r="F57" s="432"/>
      <c r="I57" s="431">
        <f t="shared" si="0"/>
        <v>0</v>
      </c>
    </row>
    <row r="58" spans="1:9" s="428" customFormat="1">
      <c r="A58" s="428">
        <v>131332</v>
      </c>
      <c r="B58" s="428" t="s">
        <v>1587</v>
      </c>
      <c r="C58" s="428" t="s">
        <v>1542</v>
      </c>
      <c r="D58" s="428" t="s">
        <v>2</v>
      </c>
      <c r="E58" s="442">
        <v>0</v>
      </c>
      <c r="F58" s="432"/>
      <c r="I58" s="431">
        <f t="shared" si="0"/>
        <v>0</v>
      </c>
    </row>
    <row r="59" spans="1:9" s="428" customFormat="1">
      <c r="A59" s="428">
        <v>131333</v>
      </c>
      <c r="B59" s="428" t="s">
        <v>1588</v>
      </c>
      <c r="C59" s="428" t="s">
        <v>1542</v>
      </c>
      <c r="D59" s="428" t="s">
        <v>2</v>
      </c>
      <c r="E59" s="442">
        <v>0</v>
      </c>
      <c r="F59" s="432"/>
      <c r="I59" s="431">
        <f t="shared" si="0"/>
        <v>0</v>
      </c>
    </row>
    <row r="60" spans="1:9" s="428" customFormat="1">
      <c r="A60" s="428">
        <v>131401</v>
      </c>
      <c r="B60" s="428" t="s">
        <v>1589</v>
      </c>
      <c r="C60" s="428" t="s">
        <v>1542</v>
      </c>
      <c r="D60" s="428" t="s">
        <v>2</v>
      </c>
      <c r="E60" s="442">
        <v>0</v>
      </c>
      <c r="F60" s="432"/>
      <c r="I60" s="431">
        <f t="shared" si="0"/>
        <v>0</v>
      </c>
    </row>
    <row r="61" spans="1:9" s="428" customFormat="1">
      <c r="A61" s="428">
        <v>131402</v>
      </c>
      <c r="B61" s="428" t="s">
        <v>1590</v>
      </c>
      <c r="C61" s="428" t="s">
        <v>1533</v>
      </c>
      <c r="D61" s="428" t="s">
        <v>122</v>
      </c>
      <c r="E61" s="442">
        <v>46295.78</v>
      </c>
      <c r="F61" s="432"/>
      <c r="I61" s="431">
        <f t="shared" si="0"/>
        <v>0</v>
      </c>
    </row>
    <row r="62" spans="1:9" s="428" customFormat="1">
      <c r="A62" s="428">
        <v>131403</v>
      </c>
      <c r="B62" s="428" t="s">
        <v>1591</v>
      </c>
      <c r="C62" s="428" t="s">
        <v>1542</v>
      </c>
      <c r="D62" s="428" t="s">
        <v>2</v>
      </c>
      <c r="E62" s="442">
        <v>84034.14</v>
      </c>
      <c r="F62" s="432"/>
      <c r="I62" s="431">
        <f t="shared" si="0"/>
        <v>0</v>
      </c>
    </row>
    <row r="63" spans="1:9" s="428" customFormat="1">
      <c r="A63" s="428">
        <v>131404</v>
      </c>
      <c r="B63" s="428" t="s">
        <v>1592</v>
      </c>
      <c r="C63" s="428" t="s">
        <v>1542</v>
      </c>
      <c r="D63" s="428" t="s">
        <v>2</v>
      </c>
      <c r="E63" s="442">
        <v>1790.97</v>
      </c>
      <c r="F63" s="432"/>
      <c r="I63" s="431">
        <f t="shared" si="0"/>
        <v>0</v>
      </c>
    </row>
    <row r="64" spans="1:9" s="428" customFormat="1">
      <c r="A64" s="428">
        <v>131405</v>
      </c>
      <c r="B64" s="428" t="s">
        <v>1593</v>
      </c>
      <c r="C64" s="428" t="s">
        <v>1542</v>
      </c>
      <c r="D64" s="428" t="s">
        <v>2</v>
      </c>
      <c r="E64" s="442">
        <v>0</v>
      </c>
      <c r="F64" s="432"/>
      <c r="I64" s="431">
        <f t="shared" si="0"/>
        <v>0</v>
      </c>
    </row>
    <row r="65" spans="1:20">
      <c r="A65" s="428">
        <v>131411</v>
      </c>
      <c r="B65" s="428" t="s">
        <v>1594</v>
      </c>
      <c r="C65" s="428" t="s">
        <v>1533</v>
      </c>
      <c r="D65" s="428" t="s">
        <v>122</v>
      </c>
      <c r="E65" s="442">
        <v>0</v>
      </c>
      <c r="I65" s="431">
        <f t="shared" si="0"/>
        <v>0</v>
      </c>
    </row>
    <row r="66" spans="1:20">
      <c r="A66" s="428">
        <v>131419</v>
      </c>
      <c r="B66" s="428" t="s">
        <v>1595</v>
      </c>
      <c r="C66" s="428" t="s">
        <v>1542</v>
      </c>
      <c r="E66" s="442">
        <v>0</v>
      </c>
      <c r="I66" s="431">
        <f t="shared" si="0"/>
        <v>0</v>
      </c>
    </row>
    <row r="67" spans="1:20">
      <c r="A67" s="428">
        <v>131420</v>
      </c>
      <c r="B67" s="428" t="s">
        <v>1921</v>
      </c>
      <c r="C67" s="428" t="s">
        <v>1542</v>
      </c>
      <c r="E67" s="442">
        <v>0</v>
      </c>
      <c r="I67" s="431">
        <f t="shared" si="0"/>
        <v>0</v>
      </c>
    </row>
    <row r="68" spans="1:20">
      <c r="A68" s="428">
        <v>131450</v>
      </c>
      <c r="B68" s="428" t="s">
        <v>1596</v>
      </c>
      <c r="C68" s="428" t="s">
        <v>1533</v>
      </c>
      <c r="D68" s="428" t="s">
        <v>122</v>
      </c>
      <c r="E68" s="442">
        <v>6191</v>
      </c>
      <c r="I68" s="431">
        <f t="shared" si="0"/>
        <v>0</v>
      </c>
    </row>
    <row r="69" spans="1:20">
      <c r="A69" s="428">
        <v>131551</v>
      </c>
      <c r="B69" s="428" t="s">
        <v>1597</v>
      </c>
      <c r="C69" s="428" t="s">
        <v>1542</v>
      </c>
      <c r="D69" s="428" t="s">
        <v>2</v>
      </c>
      <c r="E69" s="442">
        <v>0</v>
      </c>
      <c r="I69" s="431">
        <f t="shared" si="0"/>
        <v>0</v>
      </c>
    </row>
    <row r="70" spans="1:20">
      <c r="A70" s="428">
        <v>131552</v>
      </c>
      <c r="B70" s="428" t="s">
        <v>1598</v>
      </c>
      <c r="C70" s="428" t="s">
        <v>1542</v>
      </c>
      <c r="D70" s="428" t="s">
        <v>2</v>
      </c>
      <c r="E70" s="442">
        <v>0</v>
      </c>
      <c r="I70" s="431">
        <f t="shared" si="0"/>
        <v>0</v>
      </c>
    </row>
    <row r="71" spans="1:20">
      <c r="A71" s="428">
        <v>136100</v>
      </c>
      <c r="B71" s="428" t="s">
        <v>1599</v>
      </c>
      <c r="C71" s="428" t="s">
        <v>1542</v>
      </c>
      <c r="D71" s="428" t="s">
        <v>2</v>
      </c>
      <c r="E71" s="442">
        <v>36.14</v>
      </c>
      <c r="I71" s="431">
        <f t="shared" si="0"/>
        <v>0</v>
      </c>
    </row>
    <row r="72" spans="1:20">
      <c r="A72" s="428">
        <v>141170</v>
      </c>
      <c r="B72" s="428" t="s">
        <v>1600</v>
      </c>
      <c r="C72" s="428" t="s">
        <v>1542</v>
      </c>
      <c r="D72" s="428" t="s">
        <v>2</v>
      </c>
      <c r="E72" s="442">
        <v>0</v>
      </c>
      <c r="G72" s="443"/>
      <c r="H72" s="443"/>
      <c r="I72" s="431">
        <f t="shared" si="0"/>
        <v>0</v>
      </c>
      <c r="J72" s="443"/>
      <c r="K72" s="443"/>
    </row>
    <row r="73" spans="1:20">
      <c r="A73" s="428">
        <v>141180</v>
      </c>
      <c r="B73" s="428" t="s">
        <v>1601</v>
      </c>
      <c r="C73" s="428" t="s">
        <v>1542</v>
      </c>
      <c r="D73" s="428" t="s">
        <v>2</v>
      </c>
      <c r="E73" s="442">
        <v>897650.51</v>
      </c>
      <c r="G73" s="443"/>
      <c r="H73" s="443"/>
      <c r="I73" s="431">
        <f t="shared" si="0"/>
        <v>0</v>
      </c>
      <c r="J73" s="443">
        <f t="shared" ref="J73:J80" si="1">+E73</f>
        <v>897650.51</v>
      </c>
      <c r="K73" s="443"/>
      <c r="P73" s="443">
        <f>J73</f>
        <v>897650.51</v>
      </c>
      <c r="Q73" s="445"/>
      <c r="R73" s="443"/>
      <c r="S73" s="443"/>
      <c r="T73" s="443"/>
    </row>
    <row r="74" spans="1:20">
      <c r="A74" s="428">
        <v>141185</v>
      </c>
      <c r="B74" s="428" t="s">
        <v>1602</v>
      </c>
      <c r="C74" s="428" t="s">
        <v>1542</v>
      </c>
      <c r="D74" s="428" t="s">
        <v>2</v>
      </c>
      <c r="E74" s="442">
        <v>0</v>
      </c>
      <c r="G74" s="443"/>
      <c r="H74" s="443"/>
      <c r="I74" s="431">
        <f t="shared" si="0"/>
        <v>0</v>
      </c>
      <c r="J74" s="443">
        <f t="shared" si="1"/>
        <v>0</v>
      </c>
      <c r="K74" s="443"/>
    </row>
    <row r="75" spans="1:20">
      <c r="A75" s="428">
        <v>141371</v>
      </c>
      <c r="B75" s="428" t="s">
        <v>1603</v>
      </c>
      <c r="C75" s="428" t="s">
        <v>1542</v>
      </c>
      <c r="D75" s="428" t="s">
        <v>2</v>
      </c>
      <c r="E75" s="442">
        <v>0</v>
      </c>
      <c r="G75" s="443"/>
      <c r="H75" s="443"/>
      <c r="I75" s="431">
        <f t="shared" ref="I75:I113" si="2">G75+H75</f>
        <v>0</v>
      </c>
      <c r="J75" s="443">
        <f t="shared" si="1"/>
        <v>0</v>
      </c>
      <c r="K75" s="443"/>
    </row>
    <row r="76" spans="1:20">
      <c r="A76" s="428">
        <v>141390</v>
      </c>
      <c r="B76" s="428" t="s">
        <v>1604</v>
      </c>
      <c r="C76" s="428" t="s">
        <v>1542</v>
      </c>
      <c r="D76" s="428" t="s">
        <v>2</v>
      </c>
      <c r="E76" s="442">
        <v>0</v>
      </c>
      <c r="G76" s="443"/>
      <c r="H76" s="443"/>
      <c r="I76" s="431">
        <f t="shared" si="2"/>
        <v>0</v>
      </c>
      <c r="J76" s="443">
        <f t="shared" si="1"/>
        <v>0</v>
      </c>
      <c r="K76" s="443"/>
      <c r="L76" s="443"/>
      <c r="N76" s="443"/>
    </row>
    <row r="77" spans="1:20">
      <c r="A77" s="428">
        <v>141710</v>
      </c>
      <c r="B77" s="428" t="s">
        <v>1605</v>
      </c>
      <c r="C77" s="428" t="s">
        <v>1542</v>
      </c>
      <c r="D77" s="428" t="s">
        <v>2</v>
      </c>
      <c r="E77" s="442">
        <v>193714.52</v>
      </c>
      <c r="G77" s="443"/>
      <c r="H77" s="443"/>
      <c r="I77" s="431">
        <f t="shared" si="2"/>
        <v>0</v>
      </c>
      <c r="J77" s="443">
        <f t="shared" si="1"/>
        <v>193714.52</v>
      </c>
      <c r="K77" s="443"/>
      <c r="L77" s="443"/>
      <c r="N77" s="443"/>
    </row>
    <row r="78" spans="1:20">
      <c r="A78" s="428">
        <v>141720</v>
      </c>
      <c r="B78" s="428" t="s">
        <v>1606</v>
      </c>
      <c r="C78" s="428" t="s">
        <v>1542</v>
      </c>
      <c r="D78" s="428" t="s">
        <v>2</v>
      </c>
      <c r="E78" s="442">
        <v>2534611.21</v>
      </c>
      <c r="G78" s="443"/>
      <c r="H78" s="443"/>
      <c r="I78" s="431">
        <f t="shared" si="2"/>
        <v>0</v>
      </c>
      <c r="J78" s="443">
        <f t="shared" si="1"/>
        <v>2534611.21</v>
      </c>
      <c r="K78" s="443"/>
      <c r="L78" s="443"/>
      <c r="N78" s="443"/>
      <c r="P78" s="443">
        <f>J78</f>
        <v>2534611.21</v>
      </c>
      <c r="Q78" s="445"/>
      <c r="R78" s="443"/>
      <c r="S78" s="443"/>
      <c r="T78" s="443"/>
    </row>
    <row r="79" spans="1:20">
      <c r="A79" s="428">
        <v>141750</v>
      </c>
      <c r="B79" s="428" t="s">
        <v>1607</v>
      </c>
      <c r="C79" s="428" t="s">
        <v>1542</v>
      </c>
      <c r="D79" s="428" t="s">
        <v>2</v>
      </c>
      <c r="E79" s="442">
        <v>141087.67000000001</v>
      </c>
      <c r="G79" s="443"/>
      <c r="H79" s="443"/>
      <c r="I79" s="431">
        <f t="shared" si="2"/>
        <v>0</v>
      </c>
      <c r="J79" s="443">
        <f t="shared" si="1"/>
        <v>141087.67000000001</v>
      </c>
      <c r="K79" s="443"/>
    </row>
    <row r="80" spans="1:20">
      <c r="A80" s="428">
        <v>141780</v>
      </c>
      <c r="B80" s="428" t="s">
        <v>1608</v>
      </c>
      <c r="C80" s="428" t="s">
        <v>1542</v>
      </c>
      <c r="D80" s="428" t="s">
        <v>2</v>
      </c>
      <c r="E80" s="442">
        <v>224841.09</v>
      </c>
      <c r="G80" s="443"/>
      <c r="H80" s="443"/>
      <c r="I80" s="431">
        <f t="shared" si="2"/>
        <v>0</v>
      </c>
      <c r="J80" s="443">
        <f t="shared" si="1"/>
        <v>224841.09</v>
      </c>
      <c r="K80" s="443"/>
    </row>
    <row r="81" spans="1:17">
      <c r="A81" s="428">
        <v>155001</v>
      </c>
      <c r="B81" s="428" t="s">
        <v>1609</v>
      </c>
      <c r="C81" s="428" t="s">
        <v>1542</v>
      </c>
      <c r="D81" s="428" t="s">
        <v>2</v>
      </c>
      <c r="E81" s="442">
        <v>150000</v>
      </c>
      <c r="I81" s="431">
        <f t="shared" si="2"/>
        <v>0</v>
      </c>
    </row>
    <row r="82" spans="1:17">
      <c r="A82" s="428">
        <v>155002</v>
      </c>
      <c r="B82" s="428" t="s">
        <v>1610</v>
      </c>
      <c r="C82" s="428" t="s">
        <v>1542</v>
      </c>
      <c r="D82" s="428" t="s">
        <v>2</v>
      </c>
      <c r="E82" s="442">
        <v>1487218.14</v>
      </c>
      <c r="I82" s="431">
        <f t="shared" si="2"/>
        <v>0</v>
      </c>
    </row>
    <row r="83" spans="1:17">
      <c r="A83" s="428">
        <v>155004</v>
      </c>
      <c r="B83" s="428" t="s">
        <v>1611</v>
      </c>
      <c r="C83" s="428" t="s">
        <v>1542</v>
      </c>
      <c r="D83" s="428" t="s">
        <v>2</v>
      </c>
      <c r="E83" s="442">
        <v>0</v>
      </c>
      <c r="I83" s="431">
        <f t="shared" si="2"/>
        <v>0</v>
      </c>
      <c r="Q83" s="428"/>
    </row>
    <row r="84" spans="1:17">
      <c r="A84" s="428">
        <v>155005</v>
      </c>
      <c r="B84" s="428" t="s">
        <v>1612</v>
      </c>
      <c r="C84" s="428" t="s">
        <v>1542</v>
      </c>
      <c r="D84" s="428" t="s">
        <v>2</v>
      </c>
      <c r="E84" s="442">
        <v>5187848.38</v>
      </c>
      <c r="I84" s="431">
        <f t="shared" si="2"/>
        <v>0</v>
      </c>
      <c r="Q84" s="428"/>
    </row>
    <row r="85" spans="1:17">
      <c r="A85" s="428">
        <v>155102</v>
      </c>
      <c r="B85" s="428" t="s">
        <v>1613</v>
      </c>
      <c r="C85" s="428" t="s">
        <v>1542</v>
      </c>
      <c r="E85" s="442">
        <v>496602.91</v>
      </c>
      <c r="G85" s="443"/>
      <c r="H85" s="443"/>
      <c r="I85" s="431">
        <f t="shared" si="2"/>
        <v>0</v>
      </c>
      <c r="J85" s="443"/>
      <c r="K85" s="443"/>
      <c r="Q85" s="428"/>
    </row>
    <row r="86" spans="1:17">
      <c r="A86" s="428">
        <v>155105</v>
      </c>
      <c r="B86" s="428" t="s">
        <v>1614</v>
      </c>
      <c r="C86" s="428" t="s">
        <v>1542</v>
      </c>
      <c r="D86" s="428" t="s">
        <v>2</v>
      </c>
      <c r="E86" s="442">
        <v>64048</v>
      </c>
      <c r="I86" s="431">
        <f t="shared" si="2"/>
        <v>0</v>
      </c>
      <c r="Q86" s="428"/>
    </row>
    <row r="87" spans="1:17">
      <c r="A87" s="428">
        <v>155114</v>
      </c>
      <c r="B87" s="428" t="s">
        <v>1615</v>
      </c>
      <c r="C87" s="428" t="s">
        <v>1542</v>
      </c>
      <c r="D87" s="428" t="s">
        <v>2</v>
      </c>
      <c r="E87" s="442">
        <v>0</v>
      </c>
      <c r="I87" s="431">
        <f t="shared" si="2"/>
        <v>0</v>
      </c>
      <c r="Q87" s="428"/>
    </row>
    <row r="88" spans="1:17">
      <c r="A88" s="428">
        <v>155115</v>
      </c>
      <c r="B88" s="428" t="s">
        <v>1616</v>
      </c>
      <c r="C88" s="428" t="s">
        <v>1542</v>
      </c>
      <c r="D88" s="428" t="s">
        <v>2</v>
      </c>
      <c r="E88" s="442">
        <v>0</v>
      </c>
      <c r="I88" s="431">
        <f t="shared" si="2"/>
        <v>0</v>
      </c>
      <c r="Q88" s="428"/>
    </row>
    <row r="89" spans="1:17">
      <c r="A89" s="428">
        <v>155116</v>
      </c>
      <c r="B89" s="428" t="s">
        <v>1617</v>
      </c>
      <c r="C89" s="428" t="s">
        <v>1542</v>
      </c>
      <c r="D89" s="428" t="s">
        <v>2</v>
      </c>
      <c r="E89" s="442">
        <v>0</v>
      </c>
      <c r="I89" s="431">
        <f t="shared" si="2"/>
        <v>0</v>
      </c>
      <c r="Q89" s="428"/>
    </row>
    <row r="90" spans="1:17">
      <c r="A90" s="428">
        <v>155117</v>
      </c>
      <c r="B90" s="428" t="s">
        <v>1618</v>
      </c>
      <c r="C90" s="428" t="s">
        <v>1542</v>
      </c>
      <c r="D90" s="428" t="s">
        <v>2</v>
      </c>
      <c r="E90" s="442">
        <v>0</v>
      </c>
      <c r="I90" s="431">
        <f t="shared" si="2"/>
        <v>0</v>
      </c>
      <c r="Q90" s="428"/>
    </row>
    <row r="91" spans="1:17">
      <c r="A91" s="428">
        <v>155118</v>
      </c>
      <c r="B91" s="428" t="s">
        <v>1619</v>
      </c>
      <c r="C91" s="428" t="s">
        <v>1542</v>
      </c>
      <c r="D91" s="428" t="s">
        <v>2</v>
      </c>
      <c r="E91" s="442">
        <v>0</v>
      </c>
      <c r="I91" s="431">
        <f t="shared" si="2"/>
        <v>0</v>
      </c>
      <c r="Q91" s="428"/>
    </row>
    <row r="92" spans="1:17">
      <c r="A92" s="428">
        <v>155119</v>
      </c>
      <c r="B92" s="428" t="s">
        <v>1620</v>
      </c>
      <c r="C92" s="428" t="s">
        <v>1542</v>
      </c>
      <c r="D92" s="428" t="s">
        <v>2</v>
      </c>
      <c r="E92" s="442">
        <v>0</v>
      </c>
      <c r="I92" s="431">
        <f t="shared" si="2"/>
        <v>0</v>
      </c>
      <c r="Q92" s="428"/>
    </row>
    <row r="93" spans="1:17">
      <c r="A93" s="428">
        <v>155120</v>
      </c>
      <c r="B93" s="428" t="s">
        <v>1621</v>
      </c>
      <c r="C93" s="428" t="s">
        <v>1542</v>
      </c>
      <c r="E93" s="442">
        <v>0</v>
      </c>
      <c r="G93" s="443"/>
      <c r="H93" s="443"/>
      <c r="I93" s="431">
        <f t="shared" si="2"/>
        <v>0</v>
      </c>
      <c r="J93" s="443"/>
      <c r="K93" s="443"/>
      <c r="Q93" s="428"/>
    </row>
    <row r="94" spans="1:17">
      <c r="A94" s="428">
        <v>155121</v>
      </c>
      <c r="B94" s="428" t="s">
        <v>1622</v>
      </c>
      <c r="C94" s="428" t="s">
        <v>1542</v>
      </c>
      <c r="E94" s="442">
        <v>0</v>
      </c>
      <c r="G94" s="443"/>
      <c r="H94" s="443"/>
      <c r="I94" s="431">
        <f t="shared" si="2"/>
        <v>0</v>
      </c>
      <c r="J94" s="443"/>
      <c r="K94" s="443"/>
      <c r="Q94" s="428"/>
    </row>
    <row r="95" spans="1:17">
      <c r="A95" s="428">
        <v>155122</v>
      </c>
      <c r="B95" s="428" t="s">
        <v>1623</v>
      </c>
      <c r="C95" s="428" t="s">
        <v>1542</v>
      </c>
      <c r="E95" s="442">
        <v>0</v>
      </c>
      <c r="G95" s="443"/>
      <c r="H95" s="443"/>
      <c r="I95" s="431">
        <f t="shared" si="2"/>
        <v>0</v>
      </c>
      <c r="J95" s="443"/>
      <c r="K95" s="443"/>
      <c r="Q95" s="428"/>
    </row>
    <row r="96" spans="1:17">
      <c r="A96" s="428">
        <v>155123</v>
      </c>
      <c r="B96" s="428" t="s">
        <v>1624</v>
      </c>
      <c r="C96" s="428" t="s">
        <v>1542</v>
      </c>
      <c r="E96" s="442">
        <v>0</v>
      </c>
      <c r="G96" s="443"/>
      <c r="H96" s="443"/>
      <c r="I96" s="431">
        <f t="shared" si="2"/>
        <v>0</v>
      </c>
      <c r="J96" s="443"/>
      <c r="K96" s="443"/>
      <c r="Q96" s="428"/>
    </row>
    <row r="97" spans="1:17">
      <c r="A97" s="428">
        <v>157100</v>
      </c>
      <c r="B97" s="428" t="s">
        <v>1625</v>
      </c>
      <c r="C97" s="428" t="s">
        <v>1542</v>
      </c>
      <c r="D97" s="428" t="s">
        <v>2</v>
      </c>
      <c r="E97" s="442">
        <v>0</v>
      </c>
      <c r="I97" s="431">
        <f t="shared" si="2"/>
        <v>0</v>
      </c>
      <c r="Q97" s="428"/>
    </row>
    <row r="98" spans="1:17">
      <c r="A98" s="428">
        <v>157200</v>
      </c>
      <c r="B98" s="428" t="s">
        <v>1626</v>
      </c>
      <c r="C98" s="428" t="s">
        <v>1542</v>
      </c>
      <c r="D98" s="428" t="s">
        <v>2</v>
      </c>
      <c r="E98" s="442">
        <v>808215.47</v>
      </c>
      <c r="I98" s="431">
        <f t="shared" si="2"/>
        <v>0</v>
      </c>
      <c r="Q98" s="428"/>
    </row>
    <row r="99" spans="1:17">
      <c r="A99" s="428">
        <v>157300</v>
      </c>
      <c r="B99" s="428" t="s">
        <v>1577</v>
      </c>
      <c r="C99" s="428" t="s">
        <v>1542</v>
      </c>
      <c r="D99" s="428" t="s">
        <v>2</v>
      </c>
      <c r="E99" s="442">
        <v>880571</v>
      </c>
      <c r="I99" s="431">
        <f t="shared" si="2"/>
        <v>0</v>
      </c>
      <c r="Q99" s="428"/>
    </row>
    <row r="100" spans="1:17">
      <c r="A100" s="428">
        <v>157301</v>
      </c>
      <c r="B100" s="428" t="s">
        <v>1922</v>
      </c>
      <c r="C100" s="428" t="s">
        <v>1542</v>
      </c>
      <c r="E100" s="442">
        <v>8045171</v>
      </c>
      <c r="I100" s="431">
        <f t="shared" si="2"/>
        <v>0</v>
      </c>
      <c r="Q100" s="428"/>
    </row>
    <row r="101" spans="1:17">
      <c r="A101" s="428">
        <v>157402</v>
      </c>
      <c r="B101" s="428" t="s">
        <v>1627</v>
      </c>
      <c r="C101" s="428" t="s">
        <v>1542</v>
      </c>
      <c r="D101" s="428" t="s">
        <v>2</v>
      </c>
      <c r="E101" s="442">
        <v>0</v>
      </c>
      <c r="I101" s="431">
        <f t="shared" si="2"/>
        <v>0</v>
      </c>
      <c r="Q101" s="428"/>
    </row>
    <row r="102" spans="1:17">
      <c r="A102" s="428">
        <v>161711</v>
      </c>
      <c r="B102" s="428" t="s">
        <v>1628</v>
      </c>
      <c r="C102" s="428" t="s">
        <v>1542</v>
      </c>
      <c r="D102" s="428" t="s">
        <v>2</v>
      </c>
      <c r="E102" s="442">
        <v>299808.94</v>
      </c>
      <c r="G102" s="443"/>
      <c r="H102" s="443">
        <f t="shared" ref="H102:H108" si="3">E102</f>
        <v>299808.94</v>
      </c>
      <c r="I102" s="431">
        <f t="shared" si="2"/>
        <v>299808.94</v>
      </c>
      <c r="J102" s="443"/>
      <c r="K102" s="443"/>
      <c r="L102" s="443">
        <f>+I102</f>
        <v>299808.94</v>
      </c>
      <c r="Q102" s="428"/>
    </row>
    <row r="103" spans="1:17">
      <c r="A103" s="428">
        <v>161712</v>
      </c>
      <c r="B103" s="428" t="s">
        <v>1629</v>
      </c>
      <c r="C103" s="428" t="s">
        <v>1542</v>
      </c>
      <c r="D103" s="428" t="s">
        <v>2</v>
      </c>
      <c r="E103" s="442">
        <v>400000</v>
      </c>
      <c r="G103" s="443"/>
      <c r="H103" s="443">
        <f t="shared" si="3"/>
        <v>400000</v>
      </c>
      <c r="I103" s="431">
        <f t="shared" si="2"/>
        <v>400000</v>
      </c>
      <c r="J103" s="443"/>
      <c r="K103" s="443"/>
      <c r="L103" s="443">
        <f>+I103</f>
        <v>400000</v>
      </c>
      <c r="Q103" s="428"/>
    </row>
    <row r="104" spans="1:17">
      <c r="A104" s="428">
        <v>161722</v>
      </c>
      <c r="B104" s="428" t="s">
        <v>1630</v>
      </c>
      <c r="C104" s="428" t="s">
        <v>1542</v>
      </c>
      <c r="D104" s="428" t="s">
        <v>2</v>
      </c>
      <c r="E104" s="442">
        <v>31980</v>
      </c>
      <c r="G104" s="443"/>
      <c r="H104" s="443">
        <f t="shared" si="3"/>
        <v>31980</v>
      </c>
      <c r="I104" s="431">
        <f t="shared" si="2"/>
        <v>31980</v>
      </c>
      <c r="J104" s="443"/>
      <c r="K104" s="443"/>
      <c r="L104" s="443">
        <f>+I104</f>
        <v>31980</v>
      </c>
      <c r="Q104" s="428"/>
    </row>
    <row r="105" spans="1:17">
      <c r="A105" s="428">
        <v>161751</v>
      </c>
      <c r="B105" s="428" t="s">
        <v>1631</v>
      </c>
      <c r="C105" s="428" t="s">
        <v>1542</v>
      </c>
      <c r="D105" s="428" t="s">
        <v>2</v>
      </c>
      <c r="E105" s="442">
        <v>51575.5</v>
      </c>
      <c r="G105" s="443"/>
      <c r="H105" s="443">
        <f t="shared" si="3"/>
        <v>51575.5</v>
      </c>
      <c r="I105" s="431">
        <f t="shared" si="2"/>
        <v>51575.5</v>
      </c>
      <c r="J105" s="443"/>
      <c r="K105" s="443"/>
      <c r="Q105" s="428"/>
    </row>
    <row r="106" spans="1:17">
      <c r="A106" s="428">
        <v>161752</v>
      </c>
      <c r="B106" s="428" t="s">
        <v>1632</v>
      </c>
      <c r="C106" s="428" t="s">
        <v>1542</v>
      </c>
      <c r="D106" s="428" t="s">
        <v>2</v>
      </c>
      <c r="E106" s="442">
        <v>216677.39</v>
      </c>
      <c r="G106" s="443"/>
      <c r="H106" s="443">
        <f t="shared" si="3"/>
        <v>216677.39</v>
      </c>
      <c r="I106" s="431">
        <f t="shared" si="2"/>
        <v>216677.39</v>
      </c>
      <c r="J106" s="443"/>
      <c r="K106" s="443"/>
      <c r="Q106" s="428"/>
    </row>
    <row r="107" spans="1:17">
      <c r="A107" s="428">
        <v>161781</v>
      </c>
      <c r="B107" s="428" t="s">
        <v>1633</v>
      </c>
      <c r="C107" s="428" t="s">
        <v>1542</v>
      </c>
      <c r="D107" s="428" t="s">
        <v>2</v>
      </c>
      <c r="E107" s="442">
        <v>150</v>
      </c>
      <c r="G107" s="443"/>
      <c r="H107" s="443">
        <f t="shared" si="3"/>
        <v>150</v>
      </c>
      <c r="I107" s="431">
        <f t="shared" si="2"/>
        <v>150</v>
      </c>
      <c r="J107" s="443"/>
      <c r="K107" s="443"/>
      <c r="Q107" s="428"/>
    </row>
    <row r="108" spans="1:17">
      <c r="A108" s="428">
        <v>161811</v>
      </c>
      <c r="B108" s="428" t="s">
        <v>1634</v>
      </c>
      <c r="C108" s="428" t="s">
        <v>1542</v>
      </c>
      <c r="D108" s="428" t="s">
        <v>2</v>
      </c>
      <c r="E108" s="442">
        <v>700000</v>
      </c>
      <c r="G108" s="443"/>
      <c r="H108" s="443">
        <f t="shared" si="3"/>
        <v>700000</v>
      </c>
      <c r="I108" s="431">
        <f t="shared" si="2"/>
        <v>700000</v>
      </c>
      <c r="J108" s="443"/>
      <c r="K108" s="443"/>
      <c r="Q108" s="428"/>
    </row>
    <row r="109" spans="1:17">
      <c r="A109" s="428">
        <v>161812</v>
      </c>
      <c r="B109" s="428" t="s">
        <v>1635</v>
      </c>
      <c r="C109" s="428" t="s">
        <v>1542</v>
      </c>
      <c r="D109" s="428" t="s">
        <v>2</v>
      </c>
      <c r="E109" s="442">
        <v>0</v>
      </c>
      <c r="I109" s="431">
        <f t="shared" si="2"/>
        <v>0</v>
      </c>
      <c r="Q109" s="428"/>
    </row>
    <row r="110" spans="1:17">
      <c r="A110" s="428">
        <v>161813</v>
      </c>
      <c r="B110" s="428" t="s">
        <v>1636</v>
      </c>
      <c r="C110" s="428" t="s">
        <v>1542</v>
      </c>
      <c r="D110" s="428" t="s">
        <v>2</v>
      </c>
      <c r="E110" s="442">
        <v>60000</v>
      </c>
      <c r="G110" s="443"/>
      <c r="H110" s="443">
        <f>E110</f>
        <v>60000</v>
      </c>
      <c r="I110" s="431">
        <f t="shared" si="2"/>
        <v>60000</v>
      </c>
      <c r="J110" s="443"/>
      <c r="K110" s="443"/>
      <c r="Q110" s="428"/>
    </row>
    <row r="111" spans="1:17">
      <c r="A111" s="428">
        <v>161815</v>
      </c>
      <c r="B111" s="428" t="s">
        <v>1637</v>
      </c>
      <c r="C111" s="428" t="s">
        <v>1542</v>
      </c>
      <c r="D111" s="428" t="s">
        <v>2</v>
      </c>
      <c r="E111" s="442">
        <v>427892.17</v>
      </c>
      <c r="H111" s="443">
        <f>+E111</f>
        <v>427892.17</v>
      </c>
      <c r="I111" s="431">
        <f t="shared" si="2"/>
        <v>427892.17</v>
      </c>
      <c r="Q111" s="428"/>
    </row>
    <row r="112" spans="1:17">
      <c r="A112" s="428">
        <v>161818</v>
      </c>
      <c r="B112" s="428" t="s">
        <v>1638</v>
      </c>
      <c r="C112" s="428" t="s">
        <v>1542</v>
      </c>
      <c r="D112" s="428" t="s">
        <v>2</v>
      </c>
      <c r="E112" s="442">
        <v>210000</v>
      </c>
      <c r="H112" s="443">
        <f>+E112</f>
        <v>210000</v>
      </c>
      <c r="I112" s="431">
        <f t="shared" si="2"/>
        <v>210000</v>
      </c>
      <c r="Q112" s="428"/>
    </row>
    <row r="113" spans="1:17">
      <c r="A113" s="428">
        <v>162006</v>
      </c>
      <c r="B113" s="428" t="s">
        <v>1639</v>
      </c>
      <c r="C113" s="428" t="s">
        <v>1542</v>
      </c>
      <c r="D113" s="428" t="s">
        <v>2</v>
      </c>
      <c r="E113" s="442">
        <v>0</v>
      </c>
      <c r="G113" s="443">
        <f>+E113</f>
        <v>0</v>
      </c>
      <c r="H113" s="443"/>
      <c r="I113" s="431">
        <f t="shared" si="2"/>
        <v>0</v>
      </c>
      <c r="J113" s="443"/>
      <c r="K113" s="443"/>
      <c r="L113" s="443"/>
      <c r="N113" s="443">
        <f>I113</f>
        <v>0</v>
      </c>
      <c r="Q113" s="428"/>
    </row>
    <row r="114" spans="1:17">
      <c r="A114" s="428">
        <v>162011</v>
      </c>
      <c r="B114" s="428" t="s">
        <v>1640</v>
      </c>
      <c r="C114" s="428" t="s">
        <v>1542</v>
      </c>
      <c r="D114" s="428" t="s">
        <v>2</v>
      </c>
      <c r="E114" s="442">
        <v>0</v>
      </c>
      <c r="G114" s="443"/>
      <c r="H114" s="443"/>
      <c r="I114" s="431"/>
      <c r="J114" s="443"/>
      <c r="K114" s="443"/>
      <c r="Q114" s="428"/>
    </row>
    <row r="115" spans="1:17">
      <c r="A115" s="428">
        <v>162013</v>
      </c>
      <c r="B115" s="428" t="s">
        <v>1641</v>
      </c>
      <c r="C115" s="428" t="s">
        <v>1542</v>
      </c>
      <c r="D115" s="428" t="s">
        <v>2</v>
      </c>
      <c r="E115" s="442">
        <v>721434.47</v>
      </c>
      <c r="G115" s="443">
        <f t="shared" ref="G115:G167" si="4">E115</f>
        <v>721434.47</v>
      </c>
      <c r="H115" s="443"/>
      <c r="I115" s="431">
        <f t="shared" ref="I115:I179" si="5">G115+H115</f>
        <v>721434.47</v>
      </c>
      <c r="J115" s="443"/>
      <c r="K115" s="443"/>
      <c r="L115" s="443"/>
      <c r="N115" s="443"/>
      <c r="Q115" s="428"/>
    </row>
    <row r="116" spans="1:17">
      <c r="A116" s="428">
        <v>162015</v>
      </c>
      <c r="B116" s="428" t="s">
        <v>1642</v>
      </c>
      <c r="C116" s="428" t="s">
        <v>1542</v>
      </c>
      <c r="D116" s="428" t="s">
        <v>2</v>
      </c>
      <c r="E116" s="442">
        <v>2745132.97</v>
      </c>
      <c r="G116" s="443">
        <f t="shared" si="4"/>
        <v>2745132.97</v>
      </c>
      <c r="H116" s="443"/>
      <c r="I116" s="431">
        <f t="shared" si="5"/>
        <v>2745132.97</v>
      </c>
      <c r="J116" s="443"/>
      <c r="K116" s="443"/>
      <c r="L116" s="443"/>
      <c r="N116" s="443"/>
      <c r="Q116" s="428"/>
    </row>
    <row r="117" spans="1:17">
      <c r="A117" s="428">
        <v>162711</v>
      </c>
      <c r="B117" s="428" t="s">
        <v>1643</v>
      </c>
      <c r="C117" s="428" t="s">
        <v>1542</v>
      </c>
      <c r="D117" s="428" t="s">
        <v>2</v>
      </c>
      <c r="E117" s="442">
        <v>178480.5</v>
      </c>
      <c r="G117" s="443">
        <f t="shared" si="4"/>
        <v>178480.5</v>
      </c>
      <c r="H117" s="443"/>
      <c r="I117" s="431">
        <f t="shared" si="5"/>
        <v>178480.5</v>
      </c>
      <c r="J117" s="443"/>
      <c r="K117" s="443"/>
      <c r="L117" s="443">
        <f>$I117</f>
        <v>178480.5</v>
      </c>
      <c r="Q117" s="428"/>
    </row>
    <row r="118" spans="1:17">
      <c r="A118" s="428">
        <v>162712</v>
      </c>
      <c r="B118" s="428" t="s">
        <v>1644</v>
      </c>
      <c r="C118" s="428" t="s">
        <v>1542</v>
      </c>
      <c r="E118" s="442">
        <v>26775000</v>
      </c>
      <c r="G118" s="443">
        <f t="shared" si="4"/>
        <v>26775000</v>
      </c>
      <c r="H118" s="443"/>
      <c r="I118" s="431">
        <f t="shared" si="5"/>
        <v>26775000</v>
      </c>
      <c r="J118" s="443"/>
      <c r="K118" s="443"/>
      <c r="L118" s="443">
        <f>I118</f>
        <v>26775000</v>
      </c>
    </row>
    <row r="119" spans="1:17">
      <c r="A119" s="428">
        <v>162713</v>
      </c>
      <c r="B119" s="428" t="s">
        <v>1923</v>
      </c>
      <c r="C119" s="428" t="s">
        <v>1542</v>
      </c>
      <c r="E119" s="442">
        <v>88330371.549999997</v>
      </c>
      <c r="G119" s="443">
        <f t="shared" si="4"/>
        <v>88330371.549999997</v>
      </c>
      <c r="H119" s="443"/>
      <c r="I119" s="431">
        <f t="shared" si="5"/>
        <v>88330371.549999997</v>
      </c>
      <c r="J119" s="443"/>
      <c r="K119" s="443"/>
      <c r="L119" s="443">
        <f>I119</f>
        <v>88330371.549999997</v>
      </c>
    </row>
    <row r="120" spans="1:17">
      <c r="A120" s="428">
        <v>162751</v>
      </c>
      <c r="B120" s="428" t="s">
        <v>1645</v>
      </c>
      <c r="C120" s="428" t="s">
        <v>1542</v>
      </c>
      <c r="D120" s="428" t="s">
        <v>2</v>
      </c>
      <c r="E120" s="442">
        <v>630215.61</v>
      </c>
      <c r="G120" s="443">
        <f t="shared" si="4"/>
        <v>630215.61</v>
      </c>
      <c r="H120" s="443"/>
      <c r="I120" s="431">
        <f t="shared" si="5"/>
        <v>630215.61</v>
      </c>
      <c r="J120" s="443"/>
      <c r="K120" s="443"/>
    </row>
    <row r="121" spans="1:17">
      <c r="A121" s="428">
        <v>162811</v>
      </c>
      <c r="B121" s="428" t="s">
        <v>1646</v>
      </c>
      <c r="C121" s="428" t="s">
        <v>1542</v>
      </c>
      <c r="D121" s="428" t="s">
        <v>2</v>
      </c>
      <c r="E121" s="442">
        <v>2914186.94</v>
      </c>
      <c r="G121" s="443">
        <f t="shared" si="4"/>
        <v>2914186.94</v>
      </c>
      <c r="H121" s="443"/>
      <c r="I121" s="431">
        <f t="shared" si="5"/>
        <v>2914186.94</v>
      </c>
      <c r="J121" s="443"/>
      <c r="K121" s="443"/>
    </row>
    <row r="122" spans="1:17">
      <c r="A122" s="428">
        <v>162812</v>
      </c>
      <c r="B122" s="428" t="s">
        <v>1647</v>
      </c>
      <c r="C122" s="428" t="s">
        <v>1542</v>
      </c>
      <c r="D122" s="428" t="s">
        <v>2</v>
      </c>
      <c r="E122" s="442">
        <v>2730298.51</v>
      </c>
      <c r="G122" s="443">
        <f t="shared" si="4"/>
        <v>2730298.51</v>
      </c>
      <c r="H122" s="443"/>
      <c r="I122" s="431">
        <f t="shared" si="5"/>
        <v>2730298.51</v>
      </c>
      <c r="J122" s="443"/>
      <c r="K122" s="443"/>
    </row>
    <row r="123" spans="1:17">
      <c r="A123" s="428">
        <v>163721</v>
      </c>
      <c r="B123" s="428" t="s">
        <v>1648</v>
      </c>
      <c r="C123" s="428" t="s">
        <v>1542</v>
      </c>
      <c r="D123" s="428" t="s">
        <v>2</v>
      </c>
      <c r="E123" s="442">
        <v>2916963.05</v>
      </c>
      <c r="G123" s="443">
        <f t="shared" si="4"/>
        <v>2916963.05</v>
      </c>
      <c r="H123" s="443"/>
      <c r="I123" s="431">
        <f t="shared" si="5"/>
        <v>2916963.05</v>
      </c>
      <c r="J123" s="443"/>
      <c r="K123" s="443"/>
      <c r="L123" s="443">
        <f>$I123</f>
        <v>2916963.05</v>
      </c>
    </row>
    <row r="124" spans="1:17">
      <c r="A124" s="428">
        <v>163722</v>
      </c>
      <c r="B124" s="428" t="s">
        <v>1649</v>
      </c>
      <c r="C124" s="428" t="s">
        <v>1542</v>
      </c>
      <c r="D124" s="428" t="s">
        <v>2</v>
      </c>
      <c r="E124" s="442">
        <v>1291635.78</v>
      </c>
      <c r="G124" s="443">
        <f t="shared" si="4"/>
        <v>1291635.78</v>
      </c>
      <c r="H124" s="443"/>
      <c r="I124" s="431">
        <f t="shared" si="5"/>
        <v>1291635.78</v>
      </c>
      <c r="J124" s="443"/>
      <c r="K124" s="443"/>
      <c r="L124" s="443">
        <f>$I124</f>
        <v>1291635.78</v>
      </c>
      <c r="N124" s="443"/>
    </row>
    <row r="125" spans="1:17">
      <c r="A125" s="428">
        <v>163723</v>
      </c>
      <c r="B125" s="428" t="s">
        <v>1650</v>
      </c>
      <c r="C125" s="428" t="s">
        <v>1542</v>
      </c>
      <c r="D125" s="428" t="s">
        <v>2</v>
      </c>
      <c r="E125" s="442">
        <v>2656886.98</v>
      </c>
      <c r="G125" s="443">
        <f t="shared" si="4"/>
        <v>2656886.98</v>
      </c>
      <c r="H125" s="443"/>
      <c r="I125" s="431">
        <f t="shared" si="5"/>
        <v>2656886.98</v>
      </c>
      <c r="J125" s="443"/>
      <c r="K125" s="443"/>
      <c r="L125" s="443">
        <f>$I125</f>
        <v>2656886.98</v>
      </c>
    </row>
    <row r="126" spans="1:17">
      <c r="A126" s="428">
        <v>163752</v>
      </c>
      <c r="B126" s="428" t="s">
        <v>1651</v>
      </c>
      <c r="C126" s="428" t="s">
        <v>1542</v>
      </c>
      <c r="D126" s="428" t="s">
        <v>2</v>
      </c>
      <c r="E126" s="442">
        <v>2349248.23</v>
      </c>
      <c r="G126" s="443">
        <f t="shared" si="4"/>
        <v>2349248.23</v>
      </c>
      <c r="H126" s="443"/>
      <c r="I126" s="431">
        <f t="shared" si="5"/>
        <v>2349248.23</v>
      </c>
      <c r="J126" s="443"/>
      <c r="K126" s="443"/>
    </row>
    <row r="127" spans="1:17">
      <c r="A127" s="428">
        <v>163754</v>
      </c>
      <c r="B127" s="428" t="s">
        <v>1652</v>
      </c>
      <c r="C127" s="428" t="s">
        <v>1542</v>
      </c>
      <c r="D127" s="428" t="s">
        <v>2</v>
      </c>
      <c r="E127" s="442">
        <v>8333275.75</v>
      </c>
      <c r="G127" s="443">
        <f t="shared" si="4"/>
        <v>8333275.75</v>
      </c>
      <c r="H127" s="443"/>
      <c r="I127" s="431">
        <f t="shared" si="5"/>
        <v>8333275.75</v>
      </c>
      <c r="J127" s="443"/>
      <c r="K127" s="443"/>
    </row>
    <row r="128" spans="1:17">
      <c r="A128" s="428">
        <v>163755</v>
      </c>
      <c r="B128" s="428" t="s">
        <v>1653</v>
      </c>
      <c r="C128" s="428" t="s">
        <v>1542</v>
      </c>
      <c r="D128" s="428" t="s">
        <v>2</v>
      </c>
      <c r="E128" s="442">
        <v>2769905.54</v>
      </c>
      <c r="G128" s="443">
        <f t="shared" si="4"/>
        <v>2769905.54</v>
      </c>
      <c r="H128" s="443"/>
      <c r="I128" s="431">
        <f t="shared" si="5"/>
        <v>2769905.54</v>
      </c>
      <c r="J128" s="443"/>
      <c r="K128" s="443"/>
    </row>
    <row r="129" spans="1:23">
      <c r="A129" s="428">
        <v>163756</v>
      </c>
      <c r="B129" s="428" t="s">
        <v>1654</v>
      </c>
      <c r="C129" s="428" t="s">
        <v>1542</v>
      </c>
      <c r="D129" s="428" t="s">
        <v>2</v>
      </c>
      <c r="E129" s="442">
        <v>206572.81</v>
      </c>
      <c r="G129" s="443">
        <f t="shared" si="4"/>
        <v>206572.81</v>
      </c>
      <c r="H129" s="443"/>
      <c r="I129" s="431">
        <f t="shared" si="5"/>
        <v>206572.81</v>
      </c>
      <c r="J129" s="443"/>
      <c r="K129" s="443"/>
    </row>
    <row r="130" spans="1:23">
      <c r="A130" s="428">
        <v>163782</v>
      </c>
      <c r="B130" s="428" t="s">
        <v>1655</v>
      </c>
      <c r="C130" s="428" t="s">
        <v>1542</v>
      </c>
      <c r="D130" s="428" t="s">
        <v>2</v>
      </c>
      <c r="E130" s="442">
        <v>1416426.66</v>
      </c>
      <c r="G130" s="443">
        <f t="shared" si="4"/>
        <v>1416426.66</v>
      </c>
      <c r="H130" s="443"/>
      <c r="I130" s="431">
        <f t="shared" si="5"/>
        <v>1416426.66</v>
      </c>
      <c r="J130" s="443"/>
      <c r="K130" s="443"/>
    </row>
    <row r="131" spans="1:23">
      <c r="A131" s="428">
        <v>163817</v>
      </c>
      <c r="B131" s="428" t="s">
        <v>1656</v>
      </c>
      <c r="C131" s="428" t="s">
        <v>1542</v>
      </c>
      <c r="D131" s="428" t="s">
        <v>2</v>
      </c>
      <c r="E131" s="442">
        <v>5281675.38</v>
      </c>
      <c r="G131" s="443">
        <f t="shared" si="4"/>
        <v>5281675.38</v>
      </c>
      <c r="H131" s="443"/>
      <c r="I131" s="431">
        <f t="shared" si="5"/>
        <v>5281675.38</v>
      </c>
      <c r="J131" s="443"/>
      <c r="K131" s="443"/>
      <c r="L131" s="443">
        <f t="shared" ref="L131:L140" si="6">$I131</f>
        <v>5281675.38</v>
      </c>
      <c r="V131" s="446"/>
      <c r="W131" s="443"/>
    </row>
    <row r="132" spans="1:23">
      <c r="A132" s="428">
        <v>163818</v>
      </c>
      <c r="B132" s="428" t="s">
        <v>1657</v>
      </c>
      <c r="C132" s="428" t="s">
        <v>1542</v>
      </c>
      <c r="D132" s="428" t="s">
        <v>2</v>
      </c>
      <c r="E132" s="442">
        <v>4343710.4400000004</v>
      </c>
      <c r="G132" s="443">
        <f t="shared" si="4"/>
        <v>4343710.4400000004</v>
      </c>
      <c r="H132" s="443"/>
      <c r="I132" s="431">
        <f t="shared" si="5"/>
        <v>4343710.4400000004</v>
      </c>
      <c r="J132" s="443"/>
      <c r="K132" s="443"/>
      <c r="L132" s="443">
        <f t="shared" si="6"/>
        <v>4343710.4400000004</v>
      </c>
      <c r="V132" s="446"/>
      <c r="W132" s="443"/>
    </row>
    <row r="133" spans="1:23">
      <c r="A133" s="428">
        <v>164711</v>
      </c>
      <c r="B133" s="428" t="s">
        <v>1658</v>
      </c>
      <c r="C133" s="428" t="s">
        <v>1542</v>
      </c>
      <c r="D133" s="428" t="s">
        <v>2</v>
      </c>
      <c r="E133" s="442">
        <v>17002645.100000001</v>
      </c>
      <c r="G133" s="443">
        <f t="shared" si="4"/>
        <v>17002645.100000001</v>
      </c>
      <c r="H133" s="443"/>
      <c r="I133" s="431">
        <f t="shared" si="5"/>
        <v>17002645.100000001</v>
      </c>
      <c r="J133" s="443"/>
      <c r="K133" s="443"/>
      <c r="L133" s="443">
        <f t="shared" si="6"/>
        <v>17002645.100000001</v>
      </c>
      <c r="V133" s="446"/>
      <c r="W133" s="443"/>
    </row>
    <row r="134" spans="1:23">
      <c r="A134" s="428">
        <v>164714</v>
      </c>
      <c r="B134" s="428" t="s">
        <v>1659</v>
      </c>
      <c r="C134" s="428" t="s">
        <v>1542</v>
      </c>
      <c r="D134" s="428" t="s">
        <v>2</v>
      </c>
      <c r="E134" s="442">
        <v>14478.43</v>
      </c>
      <c r="G134" s="443">
        <f t="shared" si="4"/>
        <v>14478.43</v>
      </c>
      <c r="H134" s="443"/>
      <c r="I134" s="431">
        <f t="shared" si="5"/>
        <v>14478.43</v>
      </c>
      <c r="J134" s="443"/>
      <c r="K134" s="443"/>
      <c r="L134" s="443">
        <f t="shared" si="6"/>
        <v>14478.43</v>
      </c>
      <c r="V134" s="446"/>
      <c r="W134" s="443"/>
    </row>
    <row r="135" spans="1:23">
      <c r="A135" s="428">
        <v>164721</v>
      </c>
      <c r="B135" s="428" t="s">
        <v>1516</v>
      </c>
      <c r="C135" s="428" t="s">
        <v>1542</v>
      </c>
      <c r="D135" s="428" t="s">
        <v>2</v>
      </c>
      <c r="E135" s="442">
        <v>12661168.859999999</v>
      </c>
      <c r="G135" s="443">
        <f t="shared" si="4"/>
        <v>12661168.859999999</v>
      </c>
      <c r="H135" s="443"/>
      <c r="I135" s="431">
        <f t="shared" si="5"/>
        <v>12661168.859999999</v>
      </c>
      <c r="J135" s="443"/>
      <c r="K135" s="443"/>
      <c r="L135" s="443">
        <f t="shared" si="6"/>
        <v>12661168.859999999</v>
      </c>
      <c r="V135" s="446"/>
      <c r="W135" s="443"/>
    </row>
    <row r="136" spans="1:23">
      <c r="A136" s="428">
        <v>164722</v>
      </c>
      <c r="B136" s="428" t="s">
        <v>1650</v>
      </c>
      <c r="C136" s="428" t="s">
        <v>1542</v>
      </c>
      <c r="D136" s="428" t="s">
        <v>2</v>
      </c>
      <c r="E136" s="442">
        <v>8606177.3000000007</v>
      </c>
      <c r="G136" s="443">
        <f t="shared" si="4"/>
        <v>8606177.3000000007</v>
      </c>
      <c r="H136" s="443"/>
      <c r="I136" s="431">
        <f t="shared" si="5"/>
        <v>8606177.3000000007</v>
      </c>
      <c r="J136" s="443"/>
      <c r="K136" s="443"/>
      <c r="L136" s="443">
        <f t="shared" si="6"/>
        <v>8606177.3000000007</v>
      </c>
      <c r="V136" s="446"/>
      <c r="W136" s="443"/>
    </row>
    <row r="137" spans="1:23">
      <c r="A137" s="428">
        <v>164723</v>
      </c>
      <c r="B137" s="428" t="s">
        <v>1660</v>
      </c>
      <c r="C137" s="428" t="s">
        <v>1542</v>
      </c>
      <c r="D137" s="428" t="s">
        <v>2</v>
      </c>
      <c r="E137" s="442">
        <v>4916686.21</v>
      </c>
      <c r="G137" s="443">
        <f t="shared" si="4"/>
        <v>4916686.21</v>
      </c>
      <c r="H137" s="443"/>
      <c r="I137" s="431">
        <f t="shared" si="5"/>
        <v>4916686.21</v>
      </c>
      <c r="J137" s="443"/>
      <c r="K137" s="443"/>
      <c r="L137" s="443">
        <f t="shared" si="6"/>
        <v>4916686.21</v>
      </c>
      <c r="V137" s="446"/>
      <c r="W137" s="443"/>
    </row>
    <row r="138" spans="1:23">
      <c r="A138" s="428">
        <v>164724</v>
      </c>
      <c r="B138" s="428" t="s">
        <v>1661</v>
      </c>
      <c r="C138" s="428" t="s">
        <v>1542</v>
      </c>
      <c r="D138" s="428" t="s">
        <v>2</v>
      </c>
      <c r="E138" s="442">
        <v>1706177.25</v>
      </c>
      <c r="G138" s="443">
        <f t="shared" si="4"/>
        <v>1706177.25</v>
      </c>
      <c r="H138" s="443"/>
      <c r="I138" s="431">
        <f t="shared" si="5"/>
        <v>1706177.25</v>
      </c>
      <c r="J138" s="443"/>
      <c r="K138" s="443"/>
      <c r="L138" s="443">
        <f t="shared" si="6"/>
        <v>1706177.25</v>
      </c>
      <c r="V138" s="446"/>
      <c r="W138" s="443"/>
    </row>
    <row r="139" spans="1:23">
      <c r="A139" s="428">
        <v>164725</v>
      </c>
      <c r="B139" s="428" t="s">
        <v>1517</v>
      </c>
      <c r="C139" s="428" t="s">
        <v>1542</v>
      </c>
      <c r="D139" s="428" t="s">
        <v>2</v>
      </c>
      <c r="E139" s="442">
        <v>7905214.3899999997</v>
      </c>
      <c r="G139" s="443">
        <f t="shared" si="4"/>
        <v>7905214.3899999997</v>
      </c>
      <c r="H139" s="443"/>
      <c r="I139" s="431">
        <f t="shared" si="5"/>
        <v>7905214.3899999997</v>
      </c>
      <c r="J139" s="443"/>
      <c r="K139" s="443"/>
      <c r="L139" s="443">
        <f t="shared" si="6"/>
        <v>7905214.3899999997</v>
      </c>
      <c r="V139" s="446"/>
      <c r="W139" s="443"/>
    </row>
    <row r="140" spans="1:23">
      <c r="A140" s="428">
        <v>164726</v>
      </c>
      <c r="B140" s="428" t="s">
        <v>1662</v>
      </c>
      <c r="C140" s="428" t="s">
        <v>1542</v>
      </c>
      <c r="D140" s="428" t="s">
        <v>2</v>
      </c>
      <c r="E140" s="442">
        <v>9593838.8399999999</v>
      </c>
      <c r="G140" s="443">
        <f t="shared" si="4"/>
        <v>9593838.8399999999</v>
      </c>
      <c r="H140" s="443"/>
      <c r="I140" s="431">
        <f t="shared" si="5"/>
        <v>9593838.8399999999</v>
      </c>
      <c r="J140" s="443"/>
      <c r="K140" s="443"/>
      <c r="L140" s="443">
        <f t="shared" si="6"/>
        <v>9593838.8399999999</v>
      </c>
      <c r="V140" s="446"/>
      <c r="W140" s="443"/>
    </row>
    <row r="141" spans="1:23">
      <c r="A141" s="428">
        <v>164751</v>
      </c>
      <c r="B141" s="428" t="s">
        <v>1663</v>
      </c>
      <c r="C141" s="428" t="s">
        <v>1542</v>
      </c>
      <c r="D141" s="428" t="s">
        <v>2</v>
      </c>
      <c r="E141" s="442">
        <v>6679630.5499999998</v>
      </c>
      <c r="G141" s="443">
        <f t="shared" si="4"/>
        <v>6679630.5499999998</v>
      </c>
      <c r="H141" s="443"/>
      <c r="I141" s="431">
        <f t="shared" si="5"/>
        <v>6679630.5499999998</v>
      </c>
      <c r="J141" s="443"/>
      <c r="K141" s="443"/>
    </row>
    <row r="142" spans="1:23">
      <c r="A142" s="428">
        <v>164752</v>
      </c>
      <c r="B142" s="428" t="s">
        <v>1664</v>
      </c>
      <c r="C142" s="428" t="s">
        <v>1542</v>
      </c>
      <c r="D142" s="428" t="s">
        <v>2</v>
      </c>
      <c r="E142" s="442">
        <v>355099.97</v>
      </c>
      <c r="G142" s="443">
        <f t="shared" si="4"/>
        <v>355099.97</v>
      </c>
      <c r="H142" s="443"/>
      <c r="I142" s="431">
        <f t="shared" si="5"/>
        <v>355099.97</v>
      </c>
      <c r="J142" s="443"/>
      <c r="K142" s="443"/>
    </row>
    <row r="143" spans="1:23">
      <c r="A143" s="428">
        <v>164753</v>
      </c>
      <c r="B143" s="428" t="s">
        <v>1665</v>
      </c>
      <c r="C143" s="428" t="s">
        <v>1542</v>
      </c>
      <c r="D143" s="428" t="s">
        <v>2</v>
      </c>
      <c r="E143" s="442">
        <v>22752961.699999999</v>
      </c>
      <c r="G143" s="443">
        <f t="shared" si="4"/>
        <v>22752961.699999999</v>
      </c>
      <c r="H143" s="443"/>
      <c r="I143" s="431">
        <f t="shared" si="5"/>
        <v>22752961.699999999</v>
      </c>
      <c r="J143" s="443"/>
      <c r="K143" s="443"/>
    </row>
    <row r="144" spans="1:23">
      <c r="A144" s="428">
        <v>164755</v>
      </c>
      <c r="B144" s="428" t="s">
        <v>1666</v>
      </c>
      <c r="C144" s="428" t="s">
        <v>1542</v>
      </c>
      <c r="D144" s="428" t="s">
        <v>2</v>
      </c>
      <c r="E144" s="442">
        <v>0</v>
      </c>
      <c r="G144" s="443">
        <f t="shared" si="4"/>
        <v>0</v>
      </c>
      <c r="H144" s="443"/>
      <c r="I144" s="431">
        <f t="shared" si="5"/>
        <v>0</v>
      </c>
      <c r="J144" s="443"/>
      <c r="K144" s="443"/>
    </row>
    <row r="145" spans="1:14">
      <c r="A145" s="428">
        <v>164756</v>
      </c>
      <c r="B145" s="428" t="s">
        <v>1667</v>
      </c>
      <c r="C145" s="428" t="s">
        <v>1542</v>
      </c>
      <c r="D145" s="428" t="s">
        <v>2</v>
      </c>
      <c r="E145" s="442">
        <v>1405759.2</v>
      </c>
      <c r="G145" s="443">
        <f t="shared" si="4"/>
        <v>1405759.2</v>
      </c>
      <c r="H145" s="443"/>
      <c r="I145" s="431">
        <f t="shared" si="5"/>
        <v>1405759.2</v>
      </c>
      <c r="J145" s="443"/>
      <c r="K145" s="443"/>
    </row>
    <row r="146" spans="1:14">
      <c r="A146" s="428">
        <v>164757</v>
      </c>
      <c r="B146" s="428" t="s">
        <v>1668</v>
      </c>
      <c r="C146" s="428" t="s">
        <v>1542</v>
      </c>
      <c r="D146" s="428" t="s">
        <v>2</v>
      </c>
      <c r="E146" s="442">
        <v>140271.6</v>
      </c>
      <c r="G146" s="443">
        <f t="shared" si="4"/>
        <v>140271.6</v>
      </c>
      <c r="H146" s="443"/>
      <c r="I146" s="431">
        <f t="shared" si="5"/>
        <v>140271.6</v>
      </c>
      <c r="J146" s="443"/>
      <c r="K146" s="443"/>
    </row>
    <row r="147" spans="1:14">
      <c r="A147" s="428">
        <v>164758</v>
      </c>
      <c r="B147" s="428" t="s">
        <v>1669</v>
      </c>
      <c r="C147" s="428" t="s">
        <v>1542</v>
      </c>
      <c r="D147" s="428" t="s">
        <v>2</v>
      </c>
      <c r="E147" s="442">
        <v>2219411.02</v>
      </c>
      <c r="G147" s="443">
        <f t="shared" si="4"/>
        <v>2219411.02</v>
      </c>
      <c r="H147" s="443"/>
      <c r="I147" s="431">
        <f t="shared" si="5"/>
        <v>2219411.02</v>
      </c>
      <c r="J147" s="443"/>
      <c r="K147" s="443"/>
    </row>
    <row r="148" spans="1:14">
      <c r="A148" s="428">
        <v>164783</v>
      </c>
      <c r="B148" s="428" t="s">
        <v>1670</v>
      </c>
      <c r="C148" s="428" t="s">
        <v>1542</v>
      </c>
      <c r="D148" s="428" t="s">
        <v>2</v>
      </c>
      <c r="E148" s="442">
        <v>36974503.840000004</v>
      </c>
      <c r="G148" s="443">
        <f t="shared" si="4"/>
        <v>36974503.840000004</v>
      </c>
      <c r="H148" s="443"/>
      <c r="I148" s="431">
        <f t="shared" si="5"/>
        <v>36974503.840000004</v>
      </c>
      <c r="J148" s="443"/>
      <c r="K148" s="443"/>
    </row>
    <row r="149" spans="1:14">
      <c r="A149" s="428">
        <v>164810</v>
      </c>
      <c r="B149" s="428" t="s">
        <v>1671</v>
      </c>
      <c r="C149" s="428" t="s">
        <v>1542</v>
      </c>
      <c r="D149" s="428" t="s">
        <v>2</v>
      </c>
      <c r="E149" s="442">
        <v>16352242.859999999</v>
      </c>
      <c r="G149" s="443">
        <f t="shared" si="4"/>
        <v>16352242.859999999</v>
      </c>
      <c r="H149" s="443"/>
      <c r="I149" s="431">
        <f t="shared" si="5"/>
        <v>16352242.859999999</v>
      </c>
      <c r="J149" s="443"/>
      <c r="K149" s="443"/>
    </row>
    <row r="150" spans="1:14">
      <c r="A150" s="428">
        <v>164815</v>
      </c>
      <c r="B150" s="428" t="s">
        <v>1672</v>
      </c>
      <c r="C150" s="428" t="s">
        <v>1542</v>
      </c>
      <c r="D150" s="428" t="s">
        <v>2</v>
      </c>
      <c r="E150" s="442">
        <v>26767914.710000001</v>
      </c>
      <c r="G150" s="443">
        <f t="shared" si="4"/>
        <v>26767914.710000001</v>
      </c>
      <c r="H150" s="443"/>
      <c r="I150" s="431">
        <f t="shared" si="5"/>
        <v>26767914.710000001</v>
      </c>
      <c r="J150" s="443"/>
      <c r="K150" s="443"/>
    </row>
    <row r="151" spans="1:14">
      <c r="A151" s="428">
        <v>164816</v>
      </c>
      <c r="B151" s="428" t="s">
        <v>1673</v>
      </c>
      <c r="C151" s="428" t="s">
        <v>1542</v>
      </c>
      <c r="D151" s="428" t="s">
        <v>2</v>
      </c>
      <c r="E151" s="442">
        <v>10699931.210000001</v>
      </c>
      <c r="G151" s="443">
        <f t="shared" si="4"/>
        <v>10699931.210000001</v>
      </c>
      <c r="H151" s="443"/>
      <c r="I151" s="431">
        <f t="shared" si="5"/>
        <v>10699931.210000001</v>
      </c>
      <c r="J151" s="443"/>
      <c r="K151" s="443"/>
    </row>
    <row r="152" spans="1:14">
      <c r="A152" s="428">
        <v>165050</v>
      </c>
      <c r="B152" s="428" t="s">
        <v>1674</v>
      </c>
      <c r="C152" s="428" t="s">
        <v>1542</v>
      </c>
      <c r="D152" s="428" t="s">
        <v>2</v>
      </c>
      <c r="E152" s="442">
        <v>266494.42</v>
      </c>
      <c r="G152" s="443">
        <f t="shared" si="4"/>
        <v>266494.42</v>
      </c>
      <c r="H152" s="443"/>
      <c r="I152" s="431">
        <f t="shared" si="5"/>
        <v>266494.42</v>
      </c>
      <c r="J152" s="443"/>
      <c r="K152" s="443"/>
      <c r="L152" s="447">
        <f>'WP - Electric Utility Fund'!H229+'WP - Electric Utility Fund'!H240+'WP - Electric Utility Fund'!H270+'WP - Electric Utility Fund'!H297+'WP - Electric Utility Fund'!H352</f>
        <v>86836.760000000009</v>
      </c>
    </row>
    <row r="153" spans="1:14">
      <c r="A153" s="428">
        <v>165071</v>
      </c>
      <c r="B153" s="428" t="s">
        <v>1675</v>
      </c>
      <c r="C153" s="428" t="s">
        <v>1542</v>
      </c>
      <c r="D153" s="428" t="s">
        <v>2</v>
      </c>
      <c r="E153" s="442">
        <v>0</v>
      </c>
      <c r="G153" s="443">
        <f t="shared" si="4"/>
        <v>0</v>
      </c>
      <c r="H153" s="443"/>
      <c r="I153" s="431">
        <f t="shared" si="5"/>
        <v>0</v>
      </c>
      <c r="J153" s="443"/>
      <c r="K153" s="443"/>
      <c r="L153" s="443">
        <f>$I153</f>
        <v>0</v>
      </c>
    </row>
    <row r="154" spans="1:14">
      <c r="A154" s="428">
        <v>165072</v>
      </c>
      <c r="B154" s="428" t="s">
        <v>1676</v>
      </c>
      <c r="C154" s="428" t="s">
        <v>1542</v>
      </c>
      <c r="D154" s="428" t="s">
        <v>2</v>
      </c>
      <c r="E154" s="442">
        <v>0</v>
      </c>
      <c r="G154" s="443">
        <f t="shared" si="4"/>
        <v>0</v>
      </c>
      <c r="H154" s="443"/>
      <c r="I154" s="431">
        <f t="shared" si="5"/>
        <v>0</v>
      </c>
      <c r="J154" s="443"/>
      <c r="K154" s="443"/>
      <c r="L154" s="443"/>
      <c r="N154" s="443">
        <f>I154</f>
        <v>0</v>
      </c>
    </row>
    <row r="155" spans="1:14">
      <c r="A155" s="428">
        <v>165075</v>
      </c>
      <c r="B155" s="428" t="s">
        <v>1677</v>
      </c>
      <c r="C155" s="428" t="s">
        <v>1542</v>
      </c>
      <c r="D155" s="428" t="s">
        <v>2</v>
      </c>
      <c r="E155" s="442">
        <v>639738.61</v>
      </c>
      <c r="G155" s="443">
        <f t="shared" si="4"/>
        <v>639738.61</v>
      </c>
      <c r="H155" s="443"/>
      <c r="I155" s="431">
        <f t="shared" si="5"/>
        <v>639738.61</v>
      </c>
      <c r="J155" s="443"/>
      <c r="K155" s="443"/>
    </row>
    <row r="156" spans="1:14">
      <c r="A156" s="428">
        <v>165078</v>
      </c>
      <c r="B156" s="428" t="s">
        <v>1678</v>
      </c>
      <c r="C156" s="428" t="s">
        <v>1542</v>
      </c>
      <c r="D156" s="428" t="s">
        <v>2</v>
      </c>
      <c r="E156" s="442">
        <v>21374</v>
      </c>
      <c r="G156" s="443">
        <f t="shared" si="4"/>
        <v>21374</v>
      </c>
      <c r="H156" s="443"/>
      <c r="I156" s="431">
        <f t="shared" si="5"/>
        <v>21374</v>
      </c>
      <c r="J156" s="443"/>
      <c r="K156" s="443"/>
    </row>
    <row r="157" spans="1:14">
      <c r="A157" s="428">
        <v>165081</v>
      </c>
      <c r="B157" s="428" t="s">
        <v>1679</v>
      </c>
      <c r="C157" s="428" t="s">
        <v>1542</v>
      </c>
      <c r="D157" s="428" t="s">
        <v>2</v>
      </c>
      <c r="E157" s="442">
        <v>76144.289999999994</v>
      </c>
      <c r="G157" s="443">
        <f t="shared" si="4"/>
        <v>76144.289999999994</v>
      </c>
      <c r="H157" s="443"/>
      <c r="I157" s="431">
        <f t="shared" si="5"/>
        <v>76144.289999999994</v>
      </c>
      <c r="J157" s="443"/>
      <c r="K157" s="443"/>
    </row>
    <row r="158" spans="1:14">
      <c r="A158" s="428">
        <v>165086</v>
      </c>
      <c r="B158" s="428" t="s">
        <v>1680</v>
      </c>
      <c r="C158" s="428" t="s">
        <v>1542</v>
      </c>
      <c r="D158" s="428" t="s">
        <v>2</v>
      </c>
      <c r="E158" s="442">
        <v>0</v>
      </c>
      <c r="G158" s="443">
        <f t="shared" si="4"/>
        <v>0</v>
      </c>
      <c r="H158" s="443"/>
      <c r="I158" s="431">
        <f t="shared" si="5"/>
        <v>0</v>
      </c>
      <c r="J158" s="443"/>
      <c r="K158" s="443"/>
      <c r="L158" s="443">
        <f>$I158</f>
        <v>0</v>
      </c>
      <c r="N158" s="443"/>
    </row>
    <row r="159" spans="1:14">
      <c r="A159" s="428">
        <v>165087</v>
      </c>
      <c r="B159" s="428" t="s">
        <v>1681</v>
      </c>
      <c r="C159" s="428" t="s">
        <v>1542</v>
      </c>
      <c r="D159" s="428" t="s">
        <v>2</v>
      </c>
      <c r="E159" s="442">
        <v>12482.06</v>
      </c>
      <c r="G159" s="443">
        <f t="shared" si="4"/>
        <v>12482.06</v>
      </c>
      <c r="H159" s="443"/>
      <c r="I159" s="431">
        <f t="shared" si="5"/>
        <v>12482.06</v>
      </c>
      <c r="J159" s="443"/>
      <c r="K159" s="443"/>
      <c r="L159" s="443"/>
      <c r="N159" s="443">
        <f>I159</f>
        <v>12482.06</v>
      </c>
    </row>
    <row r="160" spans="1:14">
      <c r="A160" s="428">
        <v>165089</v>
      </c>
      <c r="B160" s="428" t="s">
        <v>1682</v>
      </c>
      <c r="C160" s="428" t="s">
        <v>1542</v>
      </c>
      <c r="D160" s="428" t="s">
        <v>2</v>
      </c>
      <c r="E160" s="442">
        <v>8077.01</v>
      </c>
      <c r="G160" s="443">
        <f t="shared" si="4"/>
        <v>8077.01</v>
      </c>
      <c r="H160" s="443"/>
      <c r="I160" s="431">
        <f t="shared" si="5"/>
        <v>8077.01</v>
      </c>
      <c r="J160" s="443"/>
      <c r="K160" s="443"/>
      <c r="L160" s="443"/>
      <c r="N160" s="443"/>
    </row>
    <row r="161" spans="1:14">
      <c r="A161" s="428">
        <v>165711</v>
      </c>
      <c r="B161" s="428" t="s">
        <v>1683</v>
      </c>
      <c r="C161" s="428" t="s">
        <v>1542</v>
      </c>
      <c r="D161" s="428" t="s">
        <v>2</v>
      </c>
      <c r="E161" s="442">
        <v>88490</v>
      </c>
      <c r="G161" s="443">
        <f t="shared" si="4"/>
        <v>88490</v>
      </c>
      <c r="H161" s="443"/>
      <c r="I161" s="431">
        <f t="shared" si="5"/>
        <v>88490</v>
      </c>
      <c r="J161" s="443"/>
      <c r="K161" s="443"/>
      <c r="L161" s="443">
        <f>$I161</f>
        <v>88490</v>
      </c>
      <c r="N161" s="443"/>
    </row>
    <row r="162" spans="1:14">
      <c r="A162" s="428">
        <v>165721</v>
      </c>
      <c r="B162" s="428" t="s">
        <v>1684</v>
      </c>
      <c r="C162" s="428" t="s">
        <v>1542</v>
      </c>
      <c r="D162" s="428" t="s">
        <v>2</v>
      </c>
      <c r="E162" s="442">
        <v>2477100.36</v>
      </c>
      <c r="G162" s="443">
        <f t="shared" si="4"/>
        <v>2477100.36</v>
      </c>
      <c r="H162" s="443"/>
      <c r="I162" s="431">
        <f t="shared" si="5"/>
        <v>2477100.36</v>
      </c>
      <c r="J162" s="443"/>
      <c r="K162" s="443"/>
      <c r="L162" s="443">
        <f>$I162</f>
        <v>2477100.36</v>
      </c>
      <c r="N162" s="443"/>
    </row>
    <row r="163" spans="1:14">
      <c r="A163" s="428">
        <v>165751</v>
      </c>
      <c r="B163" s="428" t="s">
        <v>1685</v>
      </c>
      <c r="C163" s="428" t="s">
        <v>1542</v>
      </c>
      <c r="D163" s="428" t="s">
        <v>2</v>
      </c>
      <c r="E163" s="442">
        <v>1029153.09</v>
      </c>
      <c r="G163" s="443">
        <f t="shared" si="4"/>
        <v>1029153.09</v>
      </c>
      <c r="H163" s="443"/>
      <c r="I163" s="431">
        <f t="shared" si="5"/>
        <v>1029153.09</v>
      </c>
      <c r="J163" s="443"/>
      <c r="K163" s="443"/>
    </row>
    <row r="164" spans="1:14">
      <c r="A164" s="428">
        <v>165781</v>
      </c>
      <c r="B164" s="428" t="s">
        <v>1686</v>
      </c>
      <c r="C164" s="428" t="s">
        <v>1542</v>
      </c>
      <c r="D164" s="428" t="s">
        <v>2</v>
      </c>
      <c r="E164" s="442">
        <v>571584.59</v>
      </c>
      <c r="G164" s="443">
        <f t="shared" si="4"/>
        <v>571584.59</v>
      </c>
      <c r="H164" s="443"/>
      <c r="I164" s="431">
        <f t="shared" si="5"/>
        <v>571584.59</v>
      </c>
      <c r="J164" s="443"/>
      <c r="K164" s="443"/>
    </row>
    <row r="165" spans="1:14">
      <c r="A165" s="428">
        <v>165811</v>
      </c>
      <c r="B165" s="428" t="s">
        <v>1687</v>
      </c>
      <c r="C165" s="428" t="s">
        <v>1542</v>
      </c>
      <c r="D165" s="428" t="s">
        <v>2</v>
      </c>
      <c r="E165" s="442">
        <v>1811371.91</v>
      </c>
      <c r="G165" s="443">
        <f t="shared" si="4"/>
        <v>1811371.91</v>
      </c>
      <c r="H165" s="443"/>
      <c r="I165" s="431">
        <f t="shared" si="5"/>
        <v>1811371.91</v>
      </c>
      <c r="J165" s="443"/>
      <c r="K165" s="443"/>
    </row>
    <row r="166" spans="1:14">
      <c r="A166" s="428">
        <v>165841</v>
      </c>
      <c r="B166" s="428" t="s">
        <v>1688</v>
      </c>
      <c r="C166" s="428" t="s">
        <v>1542</v>
      </c>
      <c r="D166" s="428" t="s">
        <v>2</v>
      </c>
      <c r="E166" s="442">
        <v>0</v>
      </c>
      <c r="G166" s="443">
        <f t="shared" si="4"/>
        <v>0</v>
      </c>
      <c r="H166" s="443"/>
      <c r="I166" s="431">
        <f t="shared" si="5"/>
        <v>0</v>
      </c>
      <c r="J166" s="443"/>
      <c r="K166" s="443"/>
      <c r="L166" s="443">
        <f>$I166</f>
        <v>0</v>
      </c>
      <c r="N166" s="443">
        <f>I166</f>
        <v>0</v>
      </c>
    </row>
    <row r="167" spans="1:14">
      <c r="A167" s="428">
        <v>165851</v>
      </c>
      <c r="B167" s="428" t="s">
        <v>1689</v>
      </c>
      <c r="C167" s="428" t="s">
        <v>1542</v>
      </c>
      <c r="D167" s="428" t="s">
        <v>2</v>
      </c>
      <c r="E167" s="442">
        <v>53689</v>
      </c>
      <c r="G167" s="443">
        <f t="shared" si="4"/>
        <v>53689</v>
      </c>
      <c r="H167" s="443"/>
      <c r="I167" s="431">
        <f t="shared" si="5"/>
        <v>53689</v>
      </c>
      <c r="J167" s="443"/>
      <c r="K167" s="443"/>
      <c r="L167" s="443"/>
      <c r="N167" s="443">
        <f>I167</f>
        <v>53689</v>
      </c>
    </row>
    <row r="168" spans="1:14">
      <c r="A168" s="428">
        <v>165861</v>
      </c>
      <c r="B168" s="428" t="s">
        <v>1690</v>
      </c>
      <c r="C168" s="428" t="s">
        <v>1542</v>
      </c>
      <c r="D168" s="428" t="s">
        <v>2</v>
      </c>
      <c r="E168" s="442">
        <v>0</v>
      </c>
      <c r="I168" s="431">
        <f t="shared" si="5"/>
        <v>0</v>
      </c>
      <c r="L168" s="443">
        <f>$I168</f>
        <v>0</v>
      </c>
      <c r="N168" s="443">
        <f>I168</f>
        <v>0</v>
      </c>
    </row>
    <row r="169" spans="1:14">
      <c r="A169" s="428">
        <v>165871</v>
      </c>
      <c r="B169" s="428" t="s">
        <v>1691</v>
      </c>
      <c r="C169" s="428" t="s">
        <v>1542</v>
      </c>
      <c r="D169" s="428" t="s">
        <v>2</v>
      </c>
      <c r="E169" s="442">
        <v>361011</v>
      </c>
      <c r="G169" s="443">
        <f>E169</f>
        <v>361011</v>
      </c>
      <c r="H169" s="443"/>
      <c r="I169" s="431">
        <f t="shared" si="5"/>
        <v>361011</v>
      </c>
      <c r="J169" s="443"/>
      <c r="K169" s="443"/>
      <c r="L169" s="443"/>
      <c r="N169" s="443">
        <f>I169</f>
        <v>361011</v>
      </c>
    </row>
    <row r="170" spans="1:14">
      <c r="A170" s="428">
        <v>165881</v>
      </c>
      <c r="B170" s="428" t="s">
        <v>1692</v>
      </c>
      <c r="C170" s="428" t="s">
        <v>1542</v>
      </c>
      <c r="D170" s="428" t="s">
        <v>2</v>
      </c>
      <c r="E170" s="442">
        <v>87268.7</v>
      </c>
      <c r="G170" s="443">
        <f>E170</f>
        <v>87268.7</v>
      </c>
      <c r="H170" s="443"/>
      <c r="I170" s="431">
        <f t="shared" si="5"/>
        <v>87268.7</v>
      </c>
      <c r="J170" s="443"/>
      <c r="K170" s="443"/>
      <c r="L170" s="443"/>
      <c r="N170" s="443">
        <f>I170</f>
        <v>87268.7</v>
      </c>
    </row>
    <row r="171" spans="1:14">
      <c r="A171" s="428">
        <v>165891</v>
      </c>
      <c r="B171" s="428" t="s">
        <v>1693</v>
      </c>
      <c r="C171" s="428" t="s">
        <v>1542</v>
      </c>
      <c r="D171" s="428" t="s">
        <v>2</v>
      </c>
      <c r="E171" s="442">
        <v>0</v>
      </c>
      <c r="I171" s="431">
        <f t="shared" si="5"/>
        <v>0</v>
      </c>
    </row>
    <row r="172" spans="1:14">
      <c r="A172" s="428">
        <v>165892</v>
      </c>
      <c r="B172" s="428" t="s">
        <v>1694</v>
      </c>
      <c r="C172" s="428" t="s">
        <v>1542</v>
      </c>
      <c r="D172" s="428" t="s">
        <v>2</v>
      </c>
      <c r="E172" s="442">
        <v>572057</v>
      </c>
      <c r="G172" s="443">
        <f>E172</f>
        <v>572057</v>
      </c>
      <c r="H172" s="443"/>
      <c r="I172" s="431">
        <f t="shared" si="5"/>
        <v>572057</v>
      </c>
      <c r="J172" s="443"/>
      <c r="K172" s="443"/>
      <c r="L172" s="443"/>
      <c r="N172" s="443">
        <f>I172</f>
        <v>572057</v>
      </c>
    </row>
    <row r="173" spans="1:14">
      <c r="A173" s="428">
        <v>165901</v>
      </c>
      <c r="B173" s="428" t="s">
        <v>1695</v>
      </c>
      <c r="C173" s="428" t="s">
        <v>1542</v>
      </c>
      <c r="D173" s="428" t="s">
        <v>2</v>
      </c>
      <c r="E173" s="442">
        <v>79682</v>
      </c>
      <c r="G173" s="443">
        <f>+E173</f>
        <v>79682</v>
      </c>
      <c r="H173" s="443"/>
      <c r="I173" s="431">
        <f t="shared" si="5"/>
        <v>79682</v>
      </c>
      <c r="J173" s="443"/>
      <c r="K173" s="443"/>
    </row>
    <row r="174" spans="1:14">
      <c r="A174" s="428">
        <v>166005</v>
      </c>
      <c r="B174" s="428" t="s">
        <v>1696</v>
      </c>
      <c r="C174" s="428" t="s">
        <v>1542</v>
      </c>
      <c r="D174" s="428" t="s">
        <v>2</v>
      </c>
      <c r="E174" s="442">
        <v>3455314.97</v>
      </c>
      <c r="G174" s="443">
        <f>E174</f>
        <v>3455314.97</v>
      </c>
      <c r="H174" s="443"/>
      <c r="I174" s="431">
        <f t="shared" si="5"/>
        <v>3455314.97</v>
      </c>
      <c r="J174" s="443"/>
      <c r="K174" s="443"/>
      <c r="L174" s="443"/>
      <c r="N174" s="443">
        <f t="shared" ref="N174:N179" si="7">I174</f>
        <v>3455314.97</v>
      </c>
    </row>
    <row r="175" spans="1:14">
      <c r="A175" s="428">
        <v>166009</v>
      </c>
      <c r="B175" s="428" t="s">
        <v>1697</v>
      </c>
      <c r="C175" s="428" t="s">
        <v>1542</v>
      </c>
      <c r="D175" s="428" t="s">
        <v>2</v>
      </c>
      <c r="E175" s="442">
        <v>1190743.01</v>
      </c>
      <c r="G175" s="443">
        <f>E175</f>
        <v>1190743.01</v>
      </c>
      <c r="H175" s="443"/>
      <c r="I175" s="431">
        <f t="shared" si="5"/>
        <v>1190743.01</v>
      </c>
      <c r="J175" s="443"/>
      <c r="K175" s="443"/>
      <c r="L175" s="443"/>
      <c r="N175" s="443">
        <f t="shared" si="7"/>
        <v>1190743.01</v>
      </c>
    </row>
    <row r="176" spans="1:14">
      <c r="A176" s="428">
        <v>166221</v>
      </c>
      <c r="B176" s="428" t="s">
        <v>1698</v>
      </c>
      <c r="C176" s="428" t="s">
        <v>1542</v>
      </c>
      <c r="D176" s="428" t="s">
        <v>2</v>
      </c>
      <c r="E176" s="442">
        <v>22292.62</v>
      </c>
      <c r="G176" s="443">
        <f>E176</f>
        <v>22292.62</v>
      </c>
      <c r="H176" s="443"/>
      <c r="I176" s="431">
        <f t="shared" si="5"/>
        <v>22292.62</v>
      </c>
      <c r="J176" s="443"/>
      <c r="K176" s="443"/>
      <c r="L176" s="443"/>
      <c r="N176" s="443">
        <f t="shared" si="7"/>
        <v>22292.62</v>
      </c>
    </row>
    <row r="177" spans="1:17">
      <c r="A177" s="428">
        <v>166606</v>
      </c>
      <c r="B177" s="428" t="s">
        <v>1699</v>
      </c>
      <c r="C177" s="428" t="s">
        <v>1542</v>
      </c>
      <c r="D177" s="428" t="s">
        <v>2</v>
      </c>
      <c r="E177" s="442">
        <v>0</v>
      </c>
      <c r="G177" s="443">
        <f>+E177</f>
        <v>0</v>
      </c>
      <c r="H177" s="443"/>
      <c r="I177" s="431">
        <f t="shared" si="5"/>
        <v>0</v>
      </c>
      <c r="J177" s="443"/>
      <c r="K177" s="443"/>
      <c r="N177" s="443">
        <f t="shared" si="7"/>
        <v>0</v>
      </c>
    </row>
    <row r="178" spans="1:17">
      <c r="A178" s="428">
        <v>166609</v>
      </c>
      <c r="B178" s="428" t="s">
        <v>1700</v>
      </c>
      <c r="C178" s="428" t="s">
        <v>1542</v>
      </c>
      <c r="D178" s="428" t="s">
        <v>2</v>
      </c>
      <c r="E178" s="442">
        <v>0</v>
      </c>
      <c r="G178" s="443"/>
      <c r="H178" s="443"/>
      <c r="I178" s="431">
        <f t="shared" si="5"/>
        <v>0</v>
      </c>
      <c r="J178" s="443"/>
      <c r="K178" s="443"/>
      <c r="N178" s="443">
        <f t="shared" si="7"/>
        <v>0</v>
      </c>
    </row>
    <row r="179" spans="1:17">
      <c r="A179" s="428">
        <v>166626</v>
      </c>
      <c r="B179" s="428" t="s">
        <v>1701</v>
      </c>
      <c r="C179" s="428" t="s">
        <v>1542</v>
      </c>
      <c r="D179" s="428" t="s">
        <v>2</v>
      </c>
      <c r="E179" s="442">
        <v>5324.43</v>
      </c>
      <c r="G179" s="443">
        <f t="shared" ref="G179:G186" si="8">E179</f>
        <v>5324.43</v>
      </c>
      <c r="H179" s="443"/>
      <c r="I179" s="431">
        <f t="shared" si="5"/>
        <v>5324.43</v>
      </c>
      <c r="J179" s="443"/>
      <c r="K179" s="443"/>
      <c r="L179" s="443"/>
      <c r="N179" s="443">
        <f t="shared" si="7"/>
        <v>5324.43</v>
      </c>
    </row>
    <row r="180" spans="1:17">
      <c r="A180" s="428">
        <v>166720</v>
      </c>
      <c r="B180" s="428" t="s">
        <v>1702</v>
      </c>
      <c r="C180" s="428" t="s">
        <v>1542</v>
      </c>
      <c r="D180" s="428" t="s">
        <v>2</v>
      </c>
      <c r="E180" s="442">
        <v>1270379.24</v>
      </c>
      <c r="G180" s="443">
        <f t="shared" si="8"/>
        <v>1270379.24</v>
      </c>
      <c r="H180" s="443"/>
      <c r="I180" s="431">
        <f t="shared" ref="I180:I245" si="9">G180+H180</f>
        <v>1270379.24</v>
      </c>
      <c r="J180" s="443"/>
      <c r="K180" s="443"/>
      <c r="L180" s="443">
        <f>$I180</f>
        <v>1270379.24</v>
      </c>
      <c r="N180" s="443"/>
    </row>
    <row r="181" spans="1:17">
      <c r="A181" s="428">
        <v>166750</v>
      </c>
      <c r="B181" s="428" t="s">
        <v>1703</v>
      </c>
      <c r="C181" s="428" t="s">
        <v>1542</v>
      </c>
      <c r="D181" s="428" t="s">
        <v>2</v>
      </c>
      <c r="E181" s="442">
        <v>1605413.2</v>
      </c>
      <c r="G181" s="443">
        <f t="shared" si="8"/>
        <v>1605413.2</v>
      </c>
      <c r="H181" s="443"/>
      <c r="I181" s="431">
        <f t="shared" si="9"/>
        <v>1605413.2</v>
      </c>
      <c r="J181" s="443"/>
      <c r="K181" s="443"/>
    </row>
    <row r="182" spans="1:17">
      <c r="A182" s="428">
        <v>166780</v>
      </c>
      <c r="B182" s="428" t="s">
        <v>1704</v>
      </c>
      <c r="C182" s="428" t="s">
        <v>1542</v>
      </c>
      <c r="D182" s="428" t="s">
        <v>2</v>
      </c>
      <c r="E182" s="442">
        <v>580040.02</v>
      </c>
      <c r="G182" s="443">
        <f t="shared" si="8"/>
        <v>580040.02</v>
      </c>
      <c r="H182" s="443"/>
      <c r="I182" s="431">
        <f t="shared" si="9"/>
        <v>580040.02</v>
      </c>
      <c r="J182" s="443"/>
      <c r="K182" s="443"/>
    </row>
    <row r="183" spans="1:17">
      <c r="A183" s="428">
        <v>166810</v>
      </c>
      <c r="B183" s="428" t="s">
        <v>1705</v>
      </c>
      <c r="C183" s="428" t="s">
        <v>1542</v>
      </c>
      <c r="D183" s="428" t="s">
        <v>2</v>
      </c>
      <c r="E183" s="442">
        <v>2938834.38</v>
      </c>
      <c r="G183" s="443">
        <f t="shared" si="8"/>
        <v>2938834.38</v>
      </c>
      <c r="H183" s="443"/>
      <c r="I183" s="431">
        <f t="shared" si="9"/>
        <v>2938834.38</v>
      </c>
      <c r="J183" s="443"/>
      <c r="K183" s="443"/>
      <c r="Q183" s="428"/>
    </row>
    <row r="184" spans="1:17">
      <c r="A184" s="428">
        <v>166830</v>
      </c>
      <c r="B184" s="428" t="s">
        <v>1706</v>
      </c>
      <c r="C184" s="428" t="s">
        <v>1542</v>
      </c>
      <c r="D184" s="428" t="s">
        <v>2</v>
      </c>
      <c r="E184" s="442">
        <v>273484.94</v>
      </c>
      <c r="G184" s="443">
        <f t="shared" si="8"/>
        <v>273484.94</v>
      </c>
      <c r="H184" s="443"/>
      <c r="I184" s="431">
        <f t="shared" si="9"/>
        <v>273484.94</v>
      </c>
      <c r="J184" s="443"/>
      <c r="K184" s="443"/>
      <c r="Q184" s="428"/>
    </row>
    <row r="185" spans="1:17">
      <c r="A185" s="428">
        <v>166870</v>
      </c>
      <c r="B185" s="428" t="s">
        <v>1707</v>
      </c>
      <c r="C185" s="428" t="s">
        <v>1542</v>
      </c>
      <c r="D185" s="428" t="s">
        <v>2</v>
      </c>
      <c r="E185" s="442">
        <v>99172</v>
      </c>
      <c r="G185" s="443">
        <f t="shared" si="8"/>
        <v>99172</v>
      </c>
      <c r="H185" s="443"/>
      <c r="I185" s="431">
        <f t="shared" si="9"/>
        <v>99172</v>
      </c>
      <c r="J185" s="443"/>
      <c r="K185" s="443"/>
      <c r="Q185" s="428"/>
    </row>
    <row r="186" spans="1:17">
      <c r="A186" s="428">
        <v>166880</v>
      </c>
      <c r="B186" s="428" t="s">
        <v>1699</v>
      </c>
      <c r="C186" s="428" t="s">
        <v>1542</v>
      </c>
      <c r="D186" s="428" t="s">
        <v>2</v>
      </c>
      <c r="E186" s="442">
        <v>1505980.77</v>
      </c>
      <c r="G186" s="443">
        <f t="shared" si="8"/>
        <v>1505980.77</v>
      </c>
      <c r="H186" s="443"/>
      <c r="I186" s="431">
        <f t="shared" si="9"/>
        <v>1505980.77</v>
      </c>
      <c r="J186" s="443"/>
      <c r="K186" s="443"/>
      <c r="L186" s="443"/>
      <c r="N186" s="443">
        <f>L186</f>
        <v>0</v>
      </c>
      <c r="Q186" s="428"/>
    </row>
    <row r="187" spans="1:17">
      <c r="A187" s="428">
        <v>166890</v>
      </c>
      <c r="B187" s="428" t="s">
        <v>1708</v>
      </c>
      <c r="C187" s="428" t="s">
        <v>1542</v>
      </c>
      <c r="D187" s="428" t="s">
        <v>2</v>
      </c>
      <c r="E187" s="442">
        <v>0</v>
      </c>
      <c r="G187" s="443"/>
      <c r="H187" s="443"/>
      <c r="I187" s="431">
        <f t="shared" si="9"/>
        <v>0</v>
      </c>
      <c r="J187" s="443"/>
      <c r="K187" s="443"/>
      <c r="Q187" s="428"/>
    </row>
    <row r="188" spans="1:17">
      <c r="A188" s="428">
        <v>166900</v>
      </c>
      <c r="B188" s="428" t="s">
        <v>1709</v>
      </c>
      <c r="C188" s="428" t="s">
        <v>1542</v>
      </c>
      <c r="D188" s="428" t="s">
        <v>2</v>
      </c>
      <c r="E188" s="442">
        <v>557441.22</v>
      </c>
      <c r="G188" s="443">
        <f t="shared" ref="G188:G196" si="10">E188</f>
        <v>557441.22</v>
      </c>
      <c r="H188" s="443"/>
      <c r="I188" s="431">
        <f t="shared" si="9"/>
        <v>557441.22</v>
      </c>
      <c r="J188" s="443"/>
      <c r="K188" s="443"/>
      <c r="L188" s="443"/>
      <c r="N188" s="443">
        <f>I188</f>
        <v>557441.22</v>
      </c>
      <c r="Q188" s="428"/>
    </row>
    <row r="189" spans="1:17">
      <c r="A189" s="428">
        <v>167710</v>
      </c>
      <c r="B189" s="428" t="s">
        <v>1710</v>
      </c>
      <c r="C189" s="428" t="s">
        <v>1542</v>
      </c>
      <c r="D189" s="428" t="s">
        <v>2</v>
      </c>
      <c r="E189" s="442">
        <v>723458.92</v>
      </c>
      <c r="G189" s="443">
        <f t="shared" si="10"/>
        <v>723458.92</v>
      </c>
      <c r="H189" s="443"/>
      <c r="I189" s="431">
        <f t="shared" si="9"/>
        <v>723458.92</v>
      </c>
      <c r="J189" s="443"/>
      <c r="K189" s="443"/>
      <c r="L189" s="443">
        <f>$I189</f>
        <v>723458.92</v>
      </c>
      <c r="Q189" s="428"/>
    </row>
    <row r="190" spans="1:17">
      <c r="A190" s="428">
        <v>167720</v>
      </c>
      <c r="B190" s="428" t="s">
        <v>1711</v>
      </c>
      <c r="C190" s="428" t="s">
        <v>1542</v>
      </c>
      <c r="D190" s="428" t="s">
        <v>2</v>
      </c>
      <c r="E190" s="442">
        <v>0</v>
      </c>
      <c r="G190" s="443">
        <f t="shared" si="10"/>
        <v>0</v>
      </c>
      <c r="H190" s="443"/>
      <c r="I190" s="431">
        <f t="shared" si="9"/>
        <v>0</v>
      </c>
      <c r="J190" s="443"/>
      <c r="K190" s="443"/>
      <c r="L190" s="443">
        <f>$I190</f>
        <v>0</v>
      </c>
      <c r="N190" s="443"/>
      <c r="Q190" s="428"/>
    </row>
    <row r="191" spans="1:17">
      <c r="A191" s="428">
        <v>167750</v>
      </c>
      <c r="B191" s="428" t="s">
        <v>1712</v>
      </c>
      <c r="C191" s="428" t="s">
        <v>1542</v>
      </c>
      <c r="D191" s="428" t="s">
        <v>2</v>
      </c>
      <c r="E191" s="442">
        <v>0</v>
      </c>
      <c r="G191" s="443">
        <f t="shared" si="10"/>
        <v>0</v>
      </c>
      <c r="H191" s="443"/>
      <c r="I191" s="431">
        <f t="shared" si="9"/>
        <v>0</v>
      </c>
      <c r="J191" s="443"/>
      <c r="K191" s="443"/>
      <c r="Q191" s="428"/>
    </row>
    <row r="192" spans="1:17">
      <c r="A192" s="428">
        <v>167780</v>
      </c>
      <c r="B192" s="428" t="s">
        <v>1713</v>
      </c>
      <c r="C192" s="428" t="s">
        <v>1542</v>
      </c>
      <c r="D192" s="428" t="s">
        <v>2</v>
      </c>
      <c r="E192" s="442">
        <v>0</v>
      </c>
      <c r="G192" s="443">
        <f t="shared" si="10"/>
        <v>0</v>
      </c>
      <c r="H192" s="443"/>
      <c r="I192" s="431">
        <f t="shared" si="9"/>
        <v>0</v>
      </c>
      <c r="J192" s="443"/>
      <c r="K192" s="443"/>
      <c r="Q192" s="428"/>
    </row>
    <row r="193" spans="1:20">
      <c r="A193" s="428">
        <v>167810</v>
      </c>
      <c r="B193" s="428" t="s">
        <v>1714</v>
      </c>
      <c r="C193" s="428" t="s">
        <v>1542</v>
      </c>
      <c r="D193" s="428" t="s">
        <v>2</v>
      </c>
      <c r="E193" s="442">
        <v>0</v>
      </c>
      <c r="G193" s="443">
        <f t="shared" si="10"/>
        <v>0</v>
      </c>
      <c r="H193" s="443"/>
      <c r="I193" s="431">
        <f t="shared" si="9"/>
        <v>0</v>
      </c>
      <c r="J193" s="443"/>
      <c r="K193" s="443"/>
      <c r="Q193" s="428"/>
    </row>
    <row r="194" spans="1:20">
      <c r="A194" s="428">
        <v>167860</v>
      </c>
      <c r="B194" s="428" t="s">
        <v>1715</v>
      </c>
      <c r="C194" s="428" t="s">
        <v>1542</v>
      </c>
      <c r="D194" s="428" t="s">
        <v>2</v>
      </c>
      <c r="E194" s="442">
        <v>26184</v>
      </c>
      <c r="G194" s="443">
        <f t="shared" si="10"/>
        <v>26184</v>
      </c>
      <c r="H194" s="443"/>
      <c r="I194" s="431">
        <f t="shared" si="9"/>
        <v>26184</v>
      </c>
      <c r="J194" s="443"/>
      <c r="K194" s="443"/>
      <c r="L194" s="443"/>
      <c r="N194" s="443">
        <f>I194</f>
        <v>26184</v>
      </c>
      <c r="Q194" s="428"/>
    </row>
    <row r="195" spans="1:20">
      <c r="A195" s="428">
        <v>167865</v>
      </c>
      <c r="B195" s="428" t="s">
        <v>1716</v>
      </c>
      <c r="C195" s="428" t="s">
        <v>1542</v>
      </c>
      <c r="D195" s="428" t="s">
        <v>2</v>
      </c>
      <c r="E195" s="442">
        <v>0</v>
      </c>
      <c r="G195" s="443">
        <f t="shared" si="10"/>
        <v>0</v>
      </c>
      <c r="H195" s="443"/>
      <c r="I195" s="431">
        <f t="shared" si="9"/>
        <v>0</v>
      </c>
      <c r="J195" s="443"/>
      <c r="K195" s="443"/>
      <c r="L195" s="443">
        <f>$I195</f>
        <v>0</v>
      </c>
      <c r="N195" s="443"/>
      <c r="Q195" s="428"/>
    </row>
    <row r="196" spans="1:20">
      <c r="A196" s="428">
        <v>167870</v>
      </c>
      <c r="B196" s="428" t="s">
        <v>1717</v>
      </c>
      <c r="C196" s="428" t="s">
        <v>1542</v>
      </c>
      <c r="D196" s="428" t="s">
        <v>2</v>
      </c>
      <c r="E196" s="442">
        <v>2802.24</v>
      </c>
      <c r="G196" s="443">
        <f t="shared" si="10"/>
        <v>2802.24</v>
      </c>
      <c r="H196" s="443"/>
      <c r="I196" s="431">
        <f t="shared" si="9"/>
        <v>2802.24</v>
      </c>
      <c r="J196" s="443"/>
      <c r="K196" s="443"/>
      <c r="L196" s="443"/>
      <c r="N196" s="443"/>
      <c r="Q196" s="428"/>
    </row>
    <row r="197" spans="1:20">
      <c r="A197" s="428">
        <v>167990</v>
      </c>
      <c r="B197" s="428" t="s">
        <v>513</v>
      </c>
      <c r="C197" s="428" t="s">
        <v>1533</v>
      </c>
      <c r="D197" s="428" t="s">
        <v>122</v>
      </c>
      <c r="E197" s="442">
        <v>150631770.78999999</v>
      </c>
      <c r="I197" s="431">
        <f t="shared" si="9"/>
        <v>0</v>
      </c>
      <c r="Q197" s="428"/>
    </row>
    <row r="198" spans="1:20">
      <c r="A198" s="428">
        <v>167991</v>
      </c>
      <c r="B198" s="428" t="s">
        <v>1718</v>
      </c>
      <c r="C198" s="428" t="s">
        <v>1542</v>
      </c>
      <c r="D198" s="428" t="s">
        <v>2</v>
      </c>
      <c r="E198" s="442">
        <v>0</v>
      </c>
      <c r="I198" s="431">
        <f t="shared" si="9"/>
        <v>0</v>
      </c>
      <c r="Q198" s="428"/>
    </row>
    <row r="199" spans="1:20">
      <c r="A199" s="428">
        <v>169002</v>
      </c>
      <c r="B199" s="428" t="s">
        <v>1719</v>
      </c>
      <c r="C199" s="428" t="s">
        <v>1542</v>
      </c>
      <c r="D199" s="428" t="s">
        <v>2</v>
      </c>
      <c r="E199" s="442">
        <v>0</v>
      </c>
      <c r="G199" s="443"/>
      <c r="H199" s="443"/>
      <c r="I199" s="431">
        <f t="shared" si="9"/>
        <v>0</v>
      </c>
      <c r="J199" s="443"/>
      <c r="K199" s="443"/>
      <c r="S199" s="443">
        <f>E199</f>
        <v>0</v>
      </c>
      <c r="T199" s="443">
        <f>R199+S199</f>
        <v>0</v>
      </c>
    </row>
    <row r="200" spans="1:20">
      <c r="A200" s="428">
        <v>169722</v>
      </c>
      <c r="B200" s="428" t="s">
        <v>1720</v>
      </c>
      <c r="C200" s="428" t="s">
        <v>1542</v>
      </c>
      <c r="D200" s="428" t="s">
        <v>2</v>
      </c>
      <c r="E200" s="442">
        <v>0</v>
      </c>
      <c r="G200" s="443"/>
      <c r="H200" s="443"/>
      <c r="I200" s="431">
        <f t="shared" si="9"/>
        <v>0</v>
      </c>
      <c r="J200" s="443"/>
      <c r="K200" s="443"/>
      <c r="R200" s="443">
        <f>E200</f>
        <v>0</v>
      </c>
      <c r="T200" s="443">
        <f>R200+S200</f>
        <v>0</v>
      </c>
    </row>
    <row r="201" spans="1:20">
      <c r="A201" s="428">
        <v>169751</v>
      </c>
      <c r="B201" s="428" t="s">
        <v>1721</v>
      </c>
      <c r="C201" s="428" t="s">
        <v>1542</v>
      </c>
      <c r="D201" s="428" t="s">
        <v>2</v>
      </c>
      <c r="E201" s="442">
        <v>3386772.66</v>
      </c>
      <c r="G201" s="443"/>
      <c r="H201" s="443"/>
      <c r="I201" s="431">
        <f t="shared" si="9"/>
        <v>0</v>
      </c>
      <c r="J201" s="443"/>
      <c r="K201" s="443"/>
      <c r="S201" s="443">
        <f>E201</f>
        <v>3386772.66</v>
      </c>
      <c r="T201" s="443">
        <f>R201+S201</f>
        <v>3386772.66</v>
      </c>
    </row>
    <row r="202" spans="1:20">
      <c r="A202" s="428">
        <v>169781</v>
      </c>
      <c r="B202" s="428" t="s">
        <v>1722</v>
      </c>
      <c r="C202" s="428" t="s">
        <v>1542</v>
      </c>
      <c r="D202" s="428" t="s">
        <v>2</v>
      </c>
      <c r="E202" s="442">
        <v>2470666.84</v>
      </c>
      <c r="G202" s="443"/>
      <c r="H202" s="443"/>
      <c r="I202" s="431">
        <f t="shared" si="9"/>
        <v>0</v>
      </c>
      <c r="J202" s="443"/>
      <c r="K202" s="443"/>
      <c r="S202" s="443">
        <f>E202</f>
        <v>2470666.84</v>
      </c>
      <c r="T202" s="443">
        <f>R202+S202</f>
        <v>2470666.84</v>
      </c>
    </row>
    <row r="203" spans="1:20">
      <c r="A203" s="428">
        <v>169811</v>
      </c>
      <c r="B203" s="428" t="s">
        <v>1723</v>
      </c>
      <c r="C203" s="428" t="s">
        <v>1542</v>
      </c>
      <c r="D203" s="428" t="s">
        <v>2</v>
      </c>
      <c r="E203" s="442">
        <v>705500.14</v>
      </c>
      <c r="G203" s="443"/>
      <c r="H203" s="443"/>
      <c r="I203" s="431">
        <f t="shared" si="9"/>
        <v>0</v>
      </c>
      <c r="J203" s="443"/>
      <c r="K203" s="443"/>
      <c r="S203" s="443">
        <f>E203</f>
        <v>705500.14</v>
      </c>
      <c r="T203" s="443">
        <f>R203+S203</f>
        <v>705500.14</v>
      </c>
    </row>
    <row r="204" spans="1:20">
      <c r="A204" s="428">
        <v>195001</v>
      </c>
      <c r="B204" s="428" t="s">
        <v>1724</v>
      </c>
      <c r="C204" s="428" t="s">
        <v>1542</v>
      </c>
      <c r="D204" s="428" t="s">
        <v>2</v>
      </c>
      <c r="E204" s="442">
        <v>14781807.310000001</v>
      </c>
      <c r="G204" s="443"/>
      <c r="H204" s="443"/>
      <c r="I204" s="431">
        <f t="shared" si="9"/>
        <v>0</v>
      </c>
      <c r="J204" s="443"/>
      <c r="K204" s="443"/>
    </row>
    <row r="205" spans="1:20">
      <c r="A205" s="428">
        <v>196415</v>
      </c>
      <c r="B205" s="428" t="s">
        <v>1725</v>
      </c>
      <c r="C205" s="428" t="s">
        <v>1542</v>
      </c>
      <c r="D205" s="428" t="s">
        <v>2</v>
      </c>
      <c r="E205" s="442">
        <v>0</v>
      </c>
      <c r="G205" s="443"/>
      <c r="H205" s="443"/>
      <c r="I205" s="431">
        <f t="shared" si="9"/>
        <v>0</v>
      </c>
      <c r="J205" s="443"/>
      <c r="K205" s="443"/>
    </row>
    <row r="206" spans="1:20">
      <c r="A206" s="428">
        <v>196416</v>
      </c>
      <c r="B206" s="428" t="s">
        <v>1726</v>
      </c>
      <c r="C206" s="428" t="s">
        <v>1542</v>
      </c>
      <c r="D206" s="428" t="s">
        <v>2</v>
      </c>
      <c r="E206" s="442">
        <v>0</v>
      </c>
      <c r="G206" s="443"/>
      <c r="H206" s="443"/>
      <c r="I206" s="431">
        <f t="shared" si="9"/>
        <v>0</v>
      </c>
      <c r="J206" s="443"/>
      <c r="K206" s="443"/>
    </row>
    <row r="207" spans="1:20">
      <c r="A207" s="428">
        <v>196417</v>
      </c>
      <c r="B207" s="428" t="s">
        <v>1727</v>
      </c>
      <c r="C207" s="428" t="s">
        <v>1542</v>
      </c>
      <c r="D207" s="428" t="s">
        <v>2</v>
      </c>
      <c r="E207" s="442">
        <v>0</v>
      </c>
      <c r="G207" s="443"/>
      <c r="H207" s="443"/>
      <c r="I207" s="431">
        <f t="shared" si="9"/>
        <v>0</v>
      </c>
      <c r="J207" s="443"/>
      <c r="K207" s="443"/>
    </row>
    <row r="208" spans="1:20">
      <c r="A208" s="428">
        <v>196418</v>
      </c>
      <c r="B208" s="428" t="s">
        <v>1728</v>
      </c>
      <c r="C208" s="428" t="s">
        <v>1542</v>
      </c>
      <c r="D208" s="428" t="s">
        <v>2</v>
      </c>
      <c r="E208" s="442">
        <v>0</v>
      </c>
      <c r="G208" s="443"/>
      <c r="H208" s="443"/>
      <c r="I208" s="431">
        <f t="shared" si="9"/>
        <v>0</v>
      </c>
      <c r="J208" s="443"/>
      <c r="K208" s="443"/>
    </row>
    <row r="209" spans="1:17">
      <c r="A209" s="428">
        <v>196419</v>
      </c>
      <c r="B209" s="428" t="s">
        <v>1729</v>
      </c>
      <c r="C209" s="428" t="s">
        <v>1542</v>
      </c>
      <c r="E209" s="442">
        <v>10861213.43</v>
      </c>
      <c r="G209" s="443"/>
      <c r="H209" s="443"/>
      <c r="I209" s="431">
        <f t="shared" si="9"/>
        <v>0</v>
      </c>
      <c r="J209" s="443"/>
      <c r="K209" s="443"/>
    </row>
    <row r="210" spans="1:17">
      <c r="A210" s="428">
        <v>196420</v>
      </c>
      <c r="B210" s="428" t="s">
        <v>1730</v>
      </c>
      <c r="C210" s="428" t="s">
        <v>1542</v>
      </c>
      <c r="E210" s="442">
        <v>1052244.58</v>
      </c>
      <c r="G210" s="443"/>
      <c r="H210" s="443"/>
      <c r="I210" s="431">
        <f t="shared" si="9"/>
        <v>0</v>
      </c>
      <c r="J210" s="443"/>
      <c r="K210" s="443"/>
    </row>
    <row r="211" spans="1:17">
      <c r="A211" s="428">
        <v>201301</v>
      </c>
      <c r="B211" s="428" t="s">
        <v>1731</v>
      </c>
      <c r="C211" s="428" t="s">
        <v>1533</v>
      </c>
      <c r="D211" s="428" t="s">
        <v>2</v>
      </c>
      <c r="E211" s="442">
        <v>3360909.49</v>
      </c>
      <c r="G211" s="443"/>
      <c r="H211" s="443"/>
      <c r="I211" s="431">
        <f t="shared" si="9"/>
        <v>0</v>
      </c>
      <c r="J211" s="443"/>
      <c r="K211" s="443"/>
    </row>
    <row r="212" spans="1:17">
      <c r="A212" s="428">
        <v>201302</v>
      </c>
      <c r="B212" s="428" t="s">
        <v>1732</v>
      </c>
      <c r="C212" s="428" t="s">
        <v>1533</v>
      </c>
      <c r="D212" s="428" t="s">
        <v>2</v>
      </c>
      <c r="E212" s="442">
        <v>0</v>
      </c>
      <c r="G212" s="443"/>
      <c r="H212" s="443"/>
      <c r="I212" s="431">
        <f t="shared" si="9"/>
        <v>0</v>
      </c>
      <c r="J212" s="443"/>
      <c r="K212" s="443"/>
    </row>
    <row r="213" spans="1:17">
      <c r="A213" s="428">
        <v>202002</v>
      </c>
      <c r="B213" s="428" t="s">
        <v>1733</v>
      </c>
      <c r="C213" s="428" t="s">
        <v>1533</v>
      </c>
      <c r="D213" s="428" t="s">
        <v>2</v>
      </c>
      <c r="E213" s="442">
        <v>765062.14</v>
      </c>
      <c r="G213" s="443"/>
      <c r="H213" s="443"/>
      <c r="I213" s="431">
        <f t="shared" si="9"/>
        <v>0</v>
      </c>
      <c r="J213" s="443"/>
      <c r="K213" s="443"/>
    </row>
    <row r="214" spans="1:17">
      <c r="A214" s="428">
        <v>202007</v>
      </c>
      <c r="B214" s="428" t="s">
        <v>1734</v>
      </c>
      <c r="C214" s="428" t="s">
        <v>1533</v>
      </c>
      <c r="D214" s="428" t="s">
        <v>2</v>
      </c>
      <c r="E214" s="442">
        <v>8786.26</v>
      </c>
      <c r="G214" s="443"/>
      <c r="H214" s="443"/>
      <c r="I214" s="431">
        <f t="shared" si="9"/>
        <v>0</v>
      </c>
      <c r="J214" s="443"/>
      <c r="K214" s="443"/>
    </row>
    <row r="215" spans="1:17">
      <c r="A215" s="428">
        <v>202008</v>
      </c>
      <c r="B215" s="428" t="s">
        <v>1735</v>
      </c>
      <c r="C215" s="428" t="s">
        <v>1533</v>
      </c>
      <c r="D215" s="428" t="s">
        <v>2</v>
      </c>
      <c r="E215" s="442">
        <v>35.200000000000003</v>
      </c>
      <c r="G215" s="443"/>
      <c r="H215" s="443"/>
      <c r="I215" s="431">
        <f t="shared" si="9"/>
        <v>0</v>
      </c>
      <c r="J215" s="443"/>
      <c r="K215" s="443"/>
      <c r="Q215" s="428"/>
    </row>
    <row r="216" spans="1:17">
      <c r="A216" s="428">
        <v>202415</v>
      </c>
      <c r="B216" s="428" t="s">
        <v>1736</v>
      </c>
      <c r="C216" s="428" t="s">
        <v>1533</v>
      </c>
      <c r="D216" s="428" t="s">
        <v>2</v>
      </c>
      <c r="E216" s="442">
        <v>0</v>
      </c>
      <c r="G216" s="443"/>
      <c r="H216" s="443"/>
      <c r="I216" s="431">
        <f t="shared" si="9"/>
        <v>0</v>
      </c>
      <c r="J216" s="443"/>
      <c r="K216" s="443"/>
      <c r="Q216" s="428"/>
    </row>
    <row r="217" spans="1:17">
      <c r="A217" s="428">
        <v>202416</v>
      </c>
      <c r="B217" s="428" t="s">
        <v>1737</v>
      </c>
      <c r="C217" s="428" t="s">
        <v>1533</v>
      </c>
      <c r="D217" s="428" t="s">
        <v>2</v>
      </c>
      <c r="E217" s="442">
        <v>0</v>
      </c>
      <c r="G217" s="443"/>
      <c r="H217" s="443"/>
      <c r="I217" s="431">
        <f t="shared" si="9"/>
        <v>0</v>
      </c>
      <c r="J217" s="443"/>
      <c r="K217" s="443"/>
      <c r="Q217" s="428"/>
    </row>
    <row r="218" spans="1:17">
      <c r="A218" s="428">
        <v>202417</v>
      </c>
      <c r="B218" s="428" t="s">
        <v>1738</v>
      </c>
      <c r="C218" s="428" t="s">
        <v>1533</v>
      </c>
      <c r="D218" s="428" t="s">
        <v>2</v>
      </c>
      <c r="E218" s="442">
        <v>0</v>
      </c>
      <c r="G218" s="443"/>
      <c r="H218" s="443"/>
      <c r="I218" s="431">
        <f t="shared" si="9"/>
        <v>0</v>
      </c>
      <c r="J218" s="443"/>
      <c r="K218" s="443"/>
      <c r="Q218" s="428"/>
    </row>
    <row r="219" spans="1:17">
      <c r="A219" s="428">
        <v>202419</v>
      </c>
      <c r="B219" s="428" t="s">
        <v>1739</v>
      </c>
      <c r="C219" s="428" t="s">
        <v>1533</v>
      </c>
      <c r="E219" s="442">
        <v>3622205.63</v>
      </c>
      <c r="G219" s="443"/>
      <c r="H219" s="443"/>
      <c r="I219" s="431">
        <f t="shared" si="9"/>
        <v>0</v>
      </c>
      <c r="J219" s="443"/>
      <c r="K219" s="443"/>
      <c r="Q219" s="428"/>
    </row>
    <row r="220" spans="1:17">
      <c r="A220" s="428">
        <v>204000</v>
      </c>
      <c r="B220" s="428" t="s">
        <v>1740</v>
      </c>
      <c r="C220" s="428" t="s">
        <v>1542</v>
      </c>
      <c r="D220" s="428" t="s">
        <v>122</v>
      </c>
      <c r="E220" s="442">
        <v>27479</v>
      </c>
      <c r="G220" s="443"/>
      <c r="H220" s="443"/>
      <c r="I220" s="431">
        <f t="shared" si="9"/>
        <v>0</v>
      </c>
      <c r="J220" s="443"/>
      <c r="K220" s="443"/>
      <c r="Q220" s="428"/>
    </row>
    <row r="221" spans="1:17">
      <c r="A221" s="428">
        <v>204001</v>
      </c>
      <c r="B221" s="428" t="s">
        <v>1741</v>
      </c>
      <c r="C221" s="428" t="s">
        <v>1533</v>
      </c>
      <c r="D221" s="428" t="s">
        <v>2</v>
      </c>
      <c r="E221" s="442">
        <v>0</v>
      </c>
      <c r="G221" s="443"/>
      <c r="H221" s="443"/>
      <c r="I221" s="431">
        <f t="shared" si="9"/>
        <v>0</v>
      </c>
      <c r="J221" s="443"/>
      <c r="K221" s="443"/>
      <c r="Q221" s="428"/>
    </row>
    <row r="222" spans="1:17">
      <c r="A222" s="428">
        <v>204020</v>
      </c>
      <c r="B222" s="428" t="s">
        <v>1742</v>
      </c>
      <c r="C222" s="428" t="s">
        <v>1533</v>
      </c>
      <c r="D222" s="428" t="s">
        <v>2</v>
      </c>
      <c r="E222" s="442">
        <v>0</v>
      </c>
      <c r="G222" s="443"/>
      <c r="H222" s="443"/>
      <c r="I222" s="431">
        <f t="shared" si="9"/>
        <v>0</v>
      </c>
      <c r="J222" s="443"/>
      <c r="K222" s="443"/>
      <c r="Q222" s="428"/>
    </row>
    <row r="223" spans="1:17">
      <c r="A223" s="428">
        <v>205000</v>
      </c>
      <c r="B223" s="428" t="s">
        <v>1743</v>
      </c>
      <c r="C223" s="428" t="s">
        <v>1533</v>
      </c>
      <c r="D223" s="428" t="s">
        <v>2</v>
      </c>
      <c r="E223" s="442">
        <v>0</v>
      </c>
      <c r="G223" s="443"/>
      <c r="H223" s="443"/>
      <c r="I223" s="431">
        <f t="shared" si="9"/>
        <v>0</v>
      </c>
      <c r="J223" s="443"/>
      <c r="K223" s="443"/>
      <c r="Q223" s="428"/>
    </row>
    <row r="224" spans="1:17">
      <c r="A224" s="428">
        <v>207012</v>
      </c>
      <c r="B224" s="428" t="s">
        <v>1744</v>
      </c>
      <c r="C224" s="428" t="s">
        <v>1533</v>
      </c>
      <c r="D224" s="428" t="s">
        <v>2</v>
      </c>
      <c r="E224" s="442">
        <v>300.3</v>
      </c>
      <c r="G224" s="443"/>
      <c r="H224" s="443"/>
      <c r="I224" s="431">
        <f t="shared" si="9"/>
        <v>0</v>
      </c>
      <c r="J224" s="443"/>
      <c r="K224" s="443"/>
      <c r="Q224" s="428"/>
    </row>
    <row r="225" spans="1:17">
      <c r="A225" s="428">
        <v>207013</v>
      </c>
      <c r="B225" s="428" t="s">
        <v>1745</v>
      </c>
      <c r="C225" s="428" t="s">
        <v>1533</v>
      </c>
      <c r="D225" s="428" t="s">
        <v>2</v>
      </c>
      <c r="E225" s="442">
        <v>75.790000000000006</v>
      </c>
      <c r="G225" s="443"/>
      <c r="H225" s="443"/>
      <c r="I225" s="431">
        <f t="shared" si="9"/>
        <v>0</v>
      </c>
      <c r="J225" s="443"/>
      <c r="K225" s="443"/>
      <c r="Q225" s="428"/>
    </row>
    <row r="226" spans="1:17">
      <c r="A226" s="428">
        <v>216001</v>
      </c>
      <c r="B226" s="428" t="s">
        <v>1746</v>
      </c>
      <c r="C226" s="428" t="s">
        <v>1533</v>
      </c>
      <c r="D226" s="428" t="s">
        <v>2</v>
      </c>
      <c r="E226" s="442">
        <v>1503366.93</v>
      </c>
      <c r="G226" s="443"/>
      <c r="H226" s="443"/>
      <c r="I226" s="431">
        <f t="shared" si="9"/>
        <v>0</v>
      </c>
      <c r="J226" s="443"/>
      <c r="K226" s="443"/>
      <c r="Q226" s="428"/>
    </row>
    <row r="227" spans="1:17">
      <c r="A227" s="428">
        <v>220001</v>
      </c>
      <c r="B227" s="428" t="s">
        <v>1747</v>
      </c>
      <c r="C227" s="428" t="s">
        <v>1533</v>
      </c>
      <c r="D227" s="428" t="s">
        <v>2</v>
      </c>
      <c r="E227" s="442">
        <v>5187848.38</v>
      </c>
      <c r="G227" s="443"/>
      <c r="H227" s="443"/>
      <c r="I227" s="431">
        <f t="shared" si="9"/>
        <v>0</v>
      </c>
      <c r="J227" s="443"/>
      <c r="K227" s="443"/>
      <c r="Q227" s="428"/>
    </row>
    <row r="228" spans="1:17">
      <c r="A228" s="428">
        <v>230001</v>
      </c>
      <c r="B228" s="428" t="s">
        <v>1748</v>
      </c>
      <c r="C228" s="428" t="s">
        <v>1533</v>
      </c>
      <c r="D228" s="428" t="s">
        <v>2</v>
      </c>
      <c r="E228" s="442">
        <v>2485000</v>
      </c>
      <c r="G228" s="443"/>
      <c r="H228" s="443"/>
      <c r="I228" s="431">
        <f t="shared" si="9"/>
        <v>0</v>
      </c>
      <c r="J228" s="443"/>
      <c r="K228" s="443"/>
      <c r="Q228" s="428"/>
    </row>
    <row r="229" spans="1:17">
      <c r="A229" s="428">
        <v>231307</v>
      </c>
      <c r="B229" s="428" t="s">
        <v>1749</v>
      </c>
      <c r="C229" s="428" t="s">
        <v>1533</v>
      </c>
      <c r="D229" s="428" t="s">
        <v>2</v>
      </c>
      <c r="E229" s="442">
        <v>0</v>
      </c>
      <c r="G229" s="443"/>
      <c r="H229" s="443"/>
      <c r="I229" s="431">
        <f t="shared" si="9"/>
        <v>0</v>
      </c>
      <c r="J229" s="443"/>
      <c r="K229" s="443"/>
      <c r="Q229" s="428"/>
    </row>
    <row r="230" spans="1:17">
      <c r="A230" s="428">
        <v>231308</v>
      </c>
      <c r="B230" s="428" t="s">
        <v>1750</v>
      </c>
      <c r="C230" s="428" t="s">
        <v>1533</v>
      </c>
      <c r="D230" s="428" t="s">
        <v>2</v>
      </c>
      <c r="E230" s="442">
        <v>0</v>
      </c>
      <c r="G230" s="443"/>
      <c r="H230" s="443"/>
      <c r="I230" s="431">
        <f t="shared" si="9"/>
        <v>0</v>
      </c>
      <c r="J230" s="443"/>
      <c r="K230" s="443"/>
      <c r="Q230" s="428"/>
    </row>
    <row r="231" spans="1:17">
      <c r="A231" s="428">
        <v>231309</v>
      </c>
      <c r="B231" s="428" t="s">
        <v>1751</v>
      </c>
      <c r="C231" s="428" t="s">
        <v>1533</v>
      </c>
      <c r="D231" s="428" t="s">
        <v>2</v>
      </c>
      <c r="E231" s="442">
        <v>0</v>
      </c>
      <c r="G231" s="443"/>
      <c r="H231" s="443"/>
      <c r="I231" s="431">
        <f t="shared" si="9"/>
        <v>0</v>
      </c>
      <c r="J231" s="443"/>
      <c r="K231" s="443"/>
      <c r="Q231" s="428"/>
    </row>
    <row r="232" spans="1:17">
      <c r="A232" s="428">
        <v>231310</v>
      </c>
      <c r="B232" s="428" t="s">
        <v>1752</v>
      </c>
      <c r="C232" s="428" t="s">
        <v>1533</v>
      </c>
      <c r="D232" s="428" t="s">
        <v>2</v>
      </c>
      <c r="E232" s="442">
        <v>0</v>
      </c>
      <c r="G232" s="443"/>
      <c r="H232" s="443"/>
      <c r="I232" s="431">
        <f t="shared" si="9"/>
        <v>0</v>
      </c>
      <c r="J232" s="443"/>
      <c r="K232" s="443"/>
      <c r="Q232" s="428"/>
    </row>
    <row r="233" spans="1:17">
      <c r="A233" s="428">
        <v>231311</v>
      </c>
      <c r="B233" s="428" t="s">
        <v>1753</v>
      </c>
      <c r="C233" s="428" t="s">
        <v>1533</v>
      </c>
      <c r="D233" s="428" t="s">
        <v>2</v>
      </c>
      <c r="E233" s="442">
        <v>0</v>
      </c>
      <c r="G233" s="443"/>
      <c r="H233" s="443"/>
      <c r="I233" s="431">
        <f t="shared" si="9"/>
        <v>0</v>
      </c>
      <c r="J233" s="443"/>
      <c r="K233" s="443"/>
      <c r="Q233" s="428"/>
    </row>
    <row r="234" spans="1:17">
      <c r="A234" s="428">
        <v>231313</v>
      </c>
      <c r="B234" s="428" t="s">
        <v>1754</v>
      </c>
      <c r="C234" s="428" t="s">
        <v>1533</v>
      </c>
      <c r="D234" s="428" t="s">
        <v>2</v>
      </c>
      <c r="E234" s="442">
        <v>0</v>
      </c>
      <c r="G234" s="443"/>
      <c r="H234" s="443"/>
      <c r="I234" s="431">
        <f t="shared" si="9"/>
        <v>0</v>
      </c>
      <c r="J234" s="443"/>
      <c r="K234" s="443"/>
      <c r="Q234" s="428"/>
    </row>
    <row r="235" spans="1:17">
      <c r="A235" s="428">
        <v>231314</v>
      </c>
      <c r="B235" s="428" t="s">
        <v>1755</v>
      </c>
      <c r="C235" s="428" t="s">
        <v>1533</v>
      </c>
      <c r="D235" s="428" t="s">
        <v>2</v>
      </c>
      <c r="E235" s="442">
        <v>0</v>
      </c>
      <c r="G235" s="443"/>
      <c r="H235" s="443"/>
      <c r="I235" s="431">
        <f t="shared" si="9"/>
        <v>0</v>
      </c>
      <c r="J235" s="443"/>
      <c r="K235" s="443"/>
      <c r="Q235" s="428"/>
    </row>
    <row r="236" spans="1:17">
      <c r="A236" s="428">
        <v>231315</v>
      </c>
      <c r="B236" s="428" t="s">
        <v>1756</v>
      </c>
      <c r="C236" s="428" t="s">
        <v>1533</v>
      </c>
      <c r="E236" s="442">
        <v>7655000</v>
      </c>
      <c r="G236" s="443"/>
      <c r="H236" s="443"/>
      <c r="I236" s="431">
        <f t="shared" si="9"/>
        <v>0</v>
      </c>
      <c r="J236" s="443"/>
      <c r="K236" s="443"/>
      <c r="Q236" s="428"/>
    </row>
    <row r="237" spans="1:17">
      <c r="A237" s="428">
        <v>231316</v>
      </c>
      <c r="B237" s="428" t="s">
        <v>1757</v>
      </c>
      <c r="C237" s="428" t="s">
        <v>1533</v>
      </c>
      <c r="E237" s="442">
        <v>11020000</v>
      </c>
      <c r="G237" s="443"/>
      <c r="H237" s="443"/>
      <c r="I237" s="431">
        <f t="shared" si="9"/>
        <v>0</v>
      </c>
      <c r="J237" s="443"/>
      <c r="K237" s="443"/>
      <c r="Q237" s="428"/>
    </row>
    <row r="238" spans="1:17">
      <c r="A238" s="428">
        <v>231317</v>
      </c>
      <c r="B238" s="428" t="s">
        <v>1758</v>
      </c>
      <c r="C238" s="428" t="s">
        <v>1533</v>
      </c>
      <c r="E238" s="442">
        <v>96150000</v>
      </c>
      <c r="G238" s="443"/>
      <c r="H238" s="443"/>
      <c r="I238" s="431">
        <f t="shared" si="9"/>
        <v>0</v>
      </c>
      <c r="J238" s="443"/>
      <c r="K238" s="443"/>
      <c r="Q238" s="428"/>
    </row>
    <row r="239" spans="1:17">
      <c r="A239" s="428">
        <v>231318</v>
      </c>
      <c r="B239" s="428" t="s">
        <v>1759</v>
      </c>
      <c r="C239" s="428" t="s">
        <v>1533</v>
      </c>
      <c r="E239" s="442">
        <v>27750000</v>
      </c>
      <c r="G239" s="443"/>
      <c r="H239" s="443"/>
      <c r="I239" s="431">
        <f t="shared" si="9"/>
        <v>0</v>
      </c>
      <c r="J239" s="443"/>
      <c r="K239" s="443"/>
      <c r="Q239" s="428"/>
    </row>
    <row r="240" spans="1:17">
      <c r="A240" s="428">
        <v>231406</v>
      </c>
      <c r="B240" s="428" t="s">
        <v>1760</v>
      </c>
      <c r="C240" s="428" t="s">
        <v>1533</v>
      </c>
      <c r="D240" s="428" t="s">
        <v>2</v>
      </c>
      <c r="E240" s="442">
        <v>0</v>
      </c>
      <c r="G240" s="443"/>
      <c r="H240" s="443"/>
      <c r="I240" s="431">
        <f t="shared" si="9"/>
        <v>0</v>
      </c>
      <c r="J240" s="443"/>
      <c r="K240" s="443"/>
      <c r="Q240" s="428"/>
    </row>
    <row r="241" spans="1:17">
      <c r="A241" s="428">
        <v>231418</v>
      </c>
      <c r="B241" s="428" t="s">
        <v>1761</v>
      </c>
      <c r="C241" s="428" t="s">
        <v>1533</v>
      </c>
      <c r="D241" s="428" t="s">
        <v>2</v>
      </c>
      <c r="E241" s="442">
        <v>10165139.6</v>
      </c>
      <c r="G241" s="443"/>
      <c r="H241" s="443"/>
      <c r="I241" s="431">
        <f t="shared" si="9"/>
        <v>0</v>
      </c>
      <c r="J241" s="443"/>
      <c r="K241" s="443"/>
      <c r="Q241" s="428"/>
    </row>
    <row r="242" spans="1:17">
      <c r="A242" s="428">
        <v>233002</v>
      </c>
      <c r="B242" s="428" t="s">
        <v>1762</v>
      </c>
      <c r="C242" s="428" t="s">
        <v>1533</v>
      </c>
      <c r="D242" s="428" t="s">
        <v>2</v>
      </c>
      <c r="E242" s="442">
        <v>0</v>
      </c>
      <c r="G242" s="443"/>
      <c r="H242" s="443"/>
      <c r="I242" s="431">
        <f t="shared" si="9"/>
        <v>0</v>
      </c>
      <c r="J242" s="443"/>
      <c r="K242" s="443"/>
      <c r="Q242" s="428"/>
    </row>
    <row r="243" spans="1:17">
      <c r="A243" s="428">
        <v>235000</v>
      </c>
      <c r="B243" s="428" t="s">
        <v>1924</v>
      </c>
      <c r="C243" s="428" t="s">
        <v>1533</v>
      </c>
      <c r="E243" s="442">
        <v>9281352</v>
      </c>
      <c r="G243" s="443"/>
      <c r="H243" s="443"/>
      <c r="I243" s="431">
        <f t="shared" si="9"/>
        <v>0</v>
      </c>
      <c r="J243" s="443"/>
      <c r="K243" s="443"/>
      <c r="Q243" s="428"/>
    </row>
    <row r="244" spans="1:17">
      <c r="A244" s="428">
        <v>240001</v>
      </c>
      <c r="B244" s="428" t="s">
        <v>1925</v>
      </c>
      <c r="C244" s="428" t="s">
        <v>1533</v>
      </c>
      <c r="E244" s="442">
        <v>2080370</v>
      </c>
      <c r="G244" s="443"/>
      <c r="H244" s="443"/>
      <c r="I244" s="431">
        <f t="shared" si="9"/>
        <v>0</v>
      </c>
      <c r="J244" s="443"/>
      <c r="K244" s="443"/>
      <c r="Q244" s="428"/>
    </row>
    <row r="245" spans="1:17">
      <c r="A245" s="428">
        <v>261001</v>
      </c>
      <c r="B245" s="428" t="s">
        <v>1763</v>
      </c>
      <c r="C245" s="428" t="s">
        <v>1533</v>
      </c>
      <c r="D245" s="428" t="s">
        <v>2</v>
      </c>
      <c r="E245" s="442">
        <v>26341321.039999999</v>
      </c>
      <c r="G245" s="443"/>
      <c r="H245" s="443"/>
      <c r="I245" s="431">
        <f t="shared" si="9"/>
        <v>0</v>
      </c>
      <c r="J245" s="443"/>
      <c r="K245" s="443"/>
      <c r="Q245" s="428"/>
    </row>
    <row r="246" spans="1:17">
      <c r="A246" s="428">
        <v>261010</v>
      </c>
      <c r="B246" s="428" t="s">
        <v>1764</v>
      </c>
      <c r="C246" s="428" t="s">
        <v>1533</v>
      </c>
      <c r="D246" s="428" t="s">
        <v>2</v>
      </c>
      <c r="E246" s="442">
        <v>0</v>
      </c>
      <c r="G246" s="443"/>
      <c r="H246" s="443"/>
      <c r="I246" s="431">
        <f t="shared" ref="I246:I259" si="11">G246+H246</f>
        <v>0</v>
      </c>
      <c r="J246" s="443"/>
      <c r="K246" s="443"/>
      <c r="Q246" s="428"/>
    </row>
    <row r="247" spans="1:17">
      <c r="A247" s="428">
        <v>261020</v>
      </c>
      <c r="B247" s="428" t="s">
        <v>1765</v>
      </c>
      <c r="C247" s="428" t="s">
        <v>1533</v>
      </c>
      <c r="D247" s="428" t="s">
        <v>2</v>
      </c>
      <c r="E247" s="442">
        <v>4036191.02</v>
      </c>
      <c r="G247" s="443"/>
      <c r="H247" s="443"/>
      <c r="I247" s="431">
        <f t="shared" si="11"/>
        <v>0</v>
      </c>
      <c r="J247" s="443"/>
      <c r="K247" s="443"/>
      <c r="Q247" s="428"/>
    </row>
    <row r="248" spans="1:17">
      <c r="A248" s="428">
        <v>261030</v>
      </c>
      <c r="B248" s="428" t="s">
        <v>1766</v>
      </c>
      <c r="C248" s="428" t="s">
        <v>1533</v>
      </c>
      <c r="D248" s="428" t="s">
        <v>2</v>
      </c>
      <c r="E248" s="442">
        <v>6874563.7800000003</v>
      </c>
      <c r="G248" s="443"/>
      <c r="H248" s="443"/>
      <c r="I248" s="431">
        <f t="shared" si="11"/>
        <v>0</v>
      </c>
      <c r="J248" s="443"/>
      <c r="K248" s="443"/>
      <c r="Q248" s="428"/>
    </row>
    <row r="249" spans="1:17">
      <c r="A249" s="428">
        <v>265101</v>
      </c>
      <c r="B249" s="428" t="s">
        <v>1767</v>
      </c>
      <c r="C249" s="428" t="s">
        <v>1533</v>
      </c>
      <c r="D249" s="428" t="s">
        <v>2</v>
      </c>
      <c r="E249" s="442">
        <v>150000</v>
      </c>
      <c r="G249" s="443"/>
      <c r="H249" s="443"/>
      <c r="I249" s="431">
        <f t="shared" si="11"/>
        <v>0</v>
      </c>
      <c r="J249" s="443"/>
      <c r="K249" s="443"/>
    </row>
    <row r="250" spans="1:17">
      <c r="A250" s="428">
        <v>265103</v>
      </c>
      <c r="B250" s="428" t="s">
        <v>1768</v>
      </c>
      <c r="C250" s="428" t="s">
        <v>1533</v>
      </c>
      <c r="D250" s="428" t="s">
        <v>2</v>
      </c>
      <c r="E250" s="442">
        <v>1000000</v>
      </c>
      <c r="G250" s="443"/>
      <c r="H250" s="443"/>
      <c r="I250" s="431">
        <f t="shared" si="11"/>
        <v>0</v>
      </c>
      <c r="J250" s="443"/>
      <c r="K250" s="443"/>
    </row>
    <row r="251" spans="1:17">
      <c r="A251" s="428">
        <v>265105</v>
      </c>
      <c r="B251" s="428" t="s">
        <v>1769</v>
      </c>
      <c r="C251" s="428" t="s">
        <v>1533</v>
      </c>
      <c r="D251" s="428" t="s">
        <v>2</v>
      </c>
      <c r="E251" s="442">
        <v>8374793.04</v>
      </c>
      <c r="G251" s="443"/>
      <c r="H251" s="443"/>
      <c r="I251" s="431">
        <f t="shared" si="11"/>
        <v>0</v>
      </c>
      <c r="J251" s="443"/>
      <c r="K251" s="443"/>
    </row>
    <row r="252" spans="1:17">
      <c r="A252" s="428">
        <v>265106</v>
      </c>
      <c r="B252" s="428" t="s">
        <v>1770</v>
      </c>
      <c r="C252" s="428" t="s">
        <v>1533</v>
      </c>
      <c r="E252" s="442">
        <v>0</v>
      </c>
      <c r="G252" s="443"/>
      <c r="H252" s="443"/>
      <c r="I252" s="431">
        <f t="shared" si="11"/>
        <v>0</v>
      </c>
      <c r="J252" s="443"/>
      <c r="K252" s="443"/>
    </row>
    <row r="253" spans="1:17">
      <c r="A253" s="428">
        <v>265107</v>
      </c>
      <c r="B253" s="428" t="s">
        <v>1771</v>
      </c>
      <c r="C253" s="428" t="s">
        <v>1533</v>
      </c>
      <c r="D253" s="428" t="s">
        <v>2</v>
      </c>
      <c r="E253" s="442">
        <v>6129170.2699999996</v>
      </c>
      <c r="G253" s="443"/>
      <c r="H253" s="443"/>
      <c r="I253" s="431">
        <f t="shared" si="11"/>
        <v>0</v>
      </c>
      <c r="J253" s="443"/>
      <c r="K253" s="443"/>
    </row>
    <row r="254" spans="1:17">
      <c r="A254" s="428">
        <v>265108</v>
      </c>
      <c r="B254" s="428" t="s">
        <v>1926</v>
      </c>
      <c r="C254" s="428" t="s">
        <v>1533</v>
      </c>
      <c r="E254" s="442">
        <v>7239007.7999999998</v>
      </c>
      <c r="G254" s="443"/>
      <c r="H254" s="443"/>
      <c r="I254" s="431">
        <f t="shared" si="11"/>
        <v>0</v>
      </c>
      <c r="J254" s="443"/>
      <c r="K254" s="443"/>
    </row>
    <row r="255" spans="1:17">
      <c r="A255" s="428">
        <v>265109</v>
      </c>
      <c r="B255" s="428" t="s">
        <v>1927</v>
      </c>
      <c r="C255" s="428" t="s">
        <v>1533</v>
      </c>
      <c r="E255" s="442">
        <v>0</v>
      </c>
      <c r="G255" s="443"/>
      <c r="H255" s="443"/>
      <c r="I255" s="431">
        <f t="shared" si="11"/>
        <v>0</v>
      </c>
      <c r="J255" s="443"/>
      <c r="K255" s="443"/>
    </row>
    <row r="256" spans="1:17">
      <c r="A256" s="428">
        <v>265110</v>
      </c>
      <c r="B256" s="428" t="s">
        <v>1772</v>
      </c>
      <c r="C256" s="428" t="s">
        <v>1533</v>
      </c>
      <c r="E256" s="442">
        <v>1047263.09</v>
      </c>
      <c r="G256" s="443"/>
      <c r="H256" s="443"/>
      <c r="I256" s="431">
        <f t="shared" si="11"/>
        <v>0</v>
      </c>
      <c r="J256" s="443"/>
      <c r="K256" s="443"/>
    </row>
    <row r="257" spans="1:20">
      <c r="A257" s="428">
        <v>265111</v>
      </c>
      <c r="B257" s="428" t="s">
        <v>1773</v>
      </c>
      <c r="C257" s="428" t="s">
        <v>1533</v>
      </c>
      <c r="E257" s="442">
        <v>0</v>
      </c>
      <c r="G257" s="443"/>
      <c r="H257" s="443"/>
      <c r="I257" s="431">
        <f t="shared" si="11"/>
        <v>0</v>
      </c>
      <c r="J257" s="443"/>
      <c r="K257" s="443"/>
    </row>
    <row r="258" spans="1:20">
      <c r="A258" s="428">
        <v>271000</v>
      </c>
      <c r="B258" s="428" t="s">
        <v>1774</v>
      </c>
      <c r="C258" s="428" t="s">
        <v>1533</v>
      </c>
      <c r="D258" s="428" t="s">
        <v>2</v>
      </c>
      <c r="E258" s="442">
        <v>9092031.7300000004</v>
      </c>
      <c r="G258" s="443"/>
      <c r="H258" s="443"/>
      <c r="I258" s="431">
        <f t="shared" si="11"/>
        <v>0</v>
      </c>
      <c r="J258" s="443"/>
      <c r="K258" s="443"/>
    </row>
    <row r="259" spans="1:20">
      <c r="A259" s="428">
        <v>271001</v>
      </c>
      <c r="B259" s="428" t="s">
        <v>1928</v>
      </c>
      <c r="C259" s="428" t="s">
        <v>1542</v>
      </c>
      <c r="E259" s="442">
        <v>1689686</v>
      </c>
      <c r="G259" s="443"/>
      <c r="H259" s="443"/>
      <c r="I259" s="431">
        <f t="shared" si="11"/>
        <v>0</v>
      </c>
      <c r="J259" s="443"/>
      <c r="K259" s="443"/>
    </row>
    <row r="261" spans="1:20">
      <c r="B261" s="428" t="s">
        <v>9</v>
      </c>
      <c r="E261" s="448">
        <f>SUM(E11:E260)</f>
        <v>1281172460.8799996</v>
      </c>
      <c r="G261" s="448">
        <f>SUM(G11:G260)</f>
        <v>365758118.21000004</v>
      </c>
      <c r="H261" s="448">
        <f>SUM(H11:H260)</f>
        <v>2398084</v>
      </c>
      <c r="I261" s="448">
        <f>SUM(I11:I260)</f>
        <v>368156202.20999998</v>
      </c>
      <c r="J261" s="448">
        <f>SUM(J11:J260)</f>
        <v>3991905</v>
      </c>
      <c r="K261" s="432"/>
      <c r="L261" s="448">
        <f>SUM(L11:L260)</f>
        <v>199559164.28</v>
      </c>
      <c r="N261" s="448">
        <f>SUM(N11:N260)</f>
        <v>6343808.0099999998</v>
      </c>
      <c r="P261" s="448">
        <f>SUM(P11:P260)</f>
        <v>3432261.7199999997</v>
      </c>
      <c r="Q261" s="432"/>
      <c r="R261" s="448">
        <f>SUM(R11:R260)</f>
        <v>0</v>
      </c>
      <c r="S261" s="448">
        <f>SUM(S11:S260)</f>
        <v>6562939.6399999997</v>
      </c>
      <c r="T261" s="448">
        <f>SUM(T11:T260)</f>
        <v>6562939.6399999997</v>
      </c>
    </row>
    <row r="262" spans="1:20">
      <c r="B262" s="428" t="s">
        <v>1775</v>
      </c>
      <c r="G262" s="449">
        <v>365758118</v>
      </c>
      <c r="H262" s="449">
        <v>2398084</v>
      </c>
      <c r="I262" s="450">
        <f>SUM(G262:H262)</f>
        <v>368156202</v>
      </c>
      <c r="J262" s="449">
        <v>3991905</v>
      </c>
      <c r="K262" s="449"/>
      <c r="L262" s="450">
        <f>'WP - Plant Functionalization'!B24</f>
        <v>199559163.72999999</v>
      </c>
      <c r="T262" s="414">
        <v>6562940</v>
      </c>
    </row>
    <row r="263" spans="1:20">
      <c r="B263" s="428" t="s">
        <v>412</v>
      </c>
      <c r="G263" s="443">
        <f>G261-G262</f>
        <v>0.21000003814697266</v>
      </c>
      <c r="H263" s="443">
        <f>H261-H262</f>
        <v>0</v>
      </c>
      <c r="I263" s="443"/>
      <c r="J263" s="443">
        <f>J261-J262</f>
        <v>0</v>
      </c>
      <c r="K263" s="443"/>
      <c r="L263" s="454">
        <f>L261-L262</f>
        <v>0.55000001192092896</v>
      </c>
      <c r="T263" s="454">
        <f>T261-T262</f>
        <v>-0.36000000033527613</v>
      </c>
    </row>
    <row r="265" spans="1:20">
      <c r="B265" s="451"/>
      <c r="C265" s="444"/>
      <c r="D265" s="444"/>
      <c r="E265" s="432"/>
      <c r="G265" s="452"/>
      <c r="H265" s="452"/>
      <c r="I265" s="445"/>
      <c r="J265" s="452"/>
      <c r="K265" s="444"/>
      <c r="L265" s="453"/>
      <c r="T265" s="452"/>
    </row>
    <row r="268" spans="1:20">
      <c r="L268" s="454"/>
    </row>
  </sheetData>
  <printOptions horizontalCentered="1"/>
  <pageMargins left="0.25" right="0.25" top="0.45" bottom="0.45" header="0.3" footer="0.25"/>
  <pageSetup scale="60" orientation="landscape" r:id="rId1"/>
  <headerFooter alignWithMargins="0">
    <oddFooter>&amp;L&amp;10&amp;F&amp;R&amp;10&amp;A</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1"/>
  <sheetViews>
    <sheetView zoomScale="70" zoomScaleNormal="70" zoomScaleSheetLayoutView="100" workbookViewId="0">
      <selection activeCell="I22" sqref="I22"/>
    </sheetView>
  </sheetViews>
  <sheetFormatPr defaultColWidth="8.88671875" defaultRowHeight="12.75"/>
  <cols>
    <col min="1" max="1" width="3.88671875" style="456" bestFit="1" customWidth="1"/>
    <col min="2" max="2" width="28.6640625" style="456" customWidth="1"/>
    <col min="3" max="3" width="1.77734375" style="456" customWidth="1"/>
    <col min="4" max="4" width="11.77734375" style="456" customWidth="1"/>
    <col min="5" max="5" width="12.77734375" style="456" customWidth="1"/>
    <col min="6" max="6" width="12.33203125" style="456" customWidth="1"/>
    <col min="7" max="7" width="8.88671875" style="456"/>
    <col min="8" max="8" width="10" style="456" bestFit="1" customWidth="1"/>
    <col min="9" max="9" width="9.33203125" style="456" bestFit="1" customWidth="1"/>
    <col min="10" max="16384" width="8.88671875" style="456"/>
  </cols>
  <sheetData>
    <row r="1" spans="1:9">
      <c r="A1" s="370" t="s">
        <v>495</v>
      </c>
      <c r="B1" s="455"/>
      <c r="C1" s="455"/>
      <c r="D1" s="455"/>
      <c r="E1" s="455"/>
      <c r="F1" s="455"/>
    </row>
    <row r="2" spans="1:9">
      <c r="A2" s="143" t="s">
        <v>1776</v>
      </c>
      <c r="B2" s="455"/>
      <c r="C2" s="455"/>
      <c r="D2" s="455"/>
      <c r="E2" s="455"/>
      <c r="F2" s="455"/>
    </row>
    <row r="3" spans="1:9">
      <c r="A3" s="372" t="str">
        <f>'WP - Trial Balance'!A3</f>
        <v>Fiscal Year Ending April 30, 2016</v>
      </c>
      <c r="B3" s="455"/>
      <c r="C3" s="455"/>
      <c r="D3" s="455"/>
      <c r="E3" s="455"/>
      <c r="F3" s="455"/>
    </row>
    <row r="4" spans="1:9">
      <c r="A4" s="372"/>
      <c r="B4" s="455"/>
      <c r="C4" s="455"/>
      <c r="D4" s="455"/>
      <c r="E4" s="455"/>
      <c r="F4" s="455"/>
    </row>
    <row r="7" spans="1:9">
      <c r="D7" s="457" t="s">
        <v>1777</v>
      </c>
      <c r="E7" s="457"/>
      <c r="F7" s="457"/>
    </row>
    <row r="8" spans="1:9">
      <c r="D8" s="458" t="s">
        <v>9</v>
      </c>
      <c r="E8" s="458" t="s">
        <v>1778</v>
      </c>
    </row>
    <row r="9" spans="1:9">
      <c r="A9" s="458" t="s">
        <v>4</v>
      </c>
      <c r="D9" s="458" t="s">
        <v>1779</v>
      </c>
      <c r="E9" s="458" t="s">
        <v>111</v>
      </c>
      <c r="F9" s="458" t="s">
        <v>1780</v>
      </c>
    </row>
    <row r="10" spans="1:9" ht="16.5" thickBot="1">
      <c r="A10" s="459" t="s">
        <v>6</v>
      </c>
      <c r="B10" s="459" t="s">
        <v>529</v>
      </c>
      <c r="D10" s="459" t="s">
        <v>1781</v>
      </c>
      <c r="E10" s="459" t="s">
        <v>499</v>
      </c>
      <c r="F10" s="459" t="s">
        <v>1778</v>
      </c>
    </row>
    <row r="12" spans="1:9">
      <c r="A12" s="460">
        <v>1</v>
      </c>
      <c r="B12" s="456" t="s">
        <v>1782</v>
      </c>
      <c r="D12" s="461">
        <v>14327000</v>
      </c>
      <c r="E12" s="462">
        <f>'WP - Allocation Factors'!$E$12</f>
        <v>0.54560419672058547</v>
      </c>
      <c r="F12" s="463">
        <f>D12*E12</f>
        <v>7816871.3264158284</v>
      </c>
      <c r="H12" s="464"/>
      <c r="I12" s="489"/>
    </row>
    <row r="13" spans="1:9">
      <c r="A13" s="460">
        <f>A12+1</f>
        <v>2</v>
      </c>
      <c r="B13" s="456" t="s">
        <v>1783</v>
      </c>
      <c r="D13" s="461">
        <v>2480063</v>
      </c>
      <c r="E13" s="462">
        <f>'WP - Allocation Factors'!$E$12</f>
        <v>0.54560419672058547</v>
      </c>
      <c r="F13" s="463">
        <f t="shared" ref="F13:F21" si="0">D13*E13</f>
        <v>1353132.7809314453</v>
      </c>
      <c r="H13" s="464"/>
      <c r="I13" s="489"/>
    </row>
    <row r="14" spans="1:9">
      <c r="A14" s="460">
        <f t="shared" ref="A14:A22" si="1">A13+1</f>
        <v>3</v>
      </c>
      <c r="B14" s="456" t="s">
        <v>1784</v>
      </c>
      <c r="D14" s="461">
        <v>0</v>
      </c>
      <c r="E14" s="462">
        <f>'WP - Allocation Factors'!$E$12</f>
        <v>0.54560419672058547</v>
      </c>
      <c r="F14" s="463">
        <f t="shared" si="0"/>
        <v>0</v>
      </c>
      <c r="H14" s="464"/>
      <c r="I14" s="489"/>
    </row>
    <row r="15" spans="1:9">
      <c r="A15" s="460">
        <f t="shared" si="1"/>
        <v>4</v>
      </c>
      <c r="B15" s="456" t="s">
        <v>1779</v>
      </c>
      <c r="D15" s="461">
        <v>1800983</v>
      </c>
      <c r="E15" s="462">
        <f>'WP - Allocation Factors'!$E$12</f>
        <v>0.54560419672058547</v>
      </c>
      <c r="F15" s="463">
        <f t="shared" si="0"/>
        <v>982623.88302243012</v>
      </c>
      <c r="H15" s="464"/>
      <c r="I15" s="489"/>
    </row>
    <row r="16" spans="1:9">
      <c r="A16" s="460">
        <f t="shared" si="1"/>
        <v>5</v>
      </c>
      <c r="B16" s="456" t="s">
        <v>1785</v>
      </c>
      <c r="D16" s="461">
        <v>5150864</v>
      </c>
      <c r="E16" s="462">
        <f>'WP - Allocation Factors'!$E$12</f>
        <v>0.54560419672058547</v>
      </c>
      <c r="F16" s="463">
        <f t="shared" si="0"/>
        <v>2810333.0151369818</v>
      </c>
      <c r="H16" s="464"/>
      <c r="I16" s="489"/>
    </row>
    <row r="17" spans="1:9">
      <c r="A17" s="460">
        <f t="shared" si="1"/>
        <v>6</v>
      </c>
      <c r="B17" s="456" t="s">
        <v>1786</v>
      </c>
      <c r="D17" s="461">
        <v>533289</v>
      </c>
      <c r="E17" s="462">
        <f>'WP - Allocation Factors'!$E$12</f>
        <v>0.54560419672058547</v>
      </c>
      <c r="F17" s="463">
        <f t="shared" si="0"/>
        <v>290964.71646492428</v>
      </c>
      <c r="H17" s="464"/>
      <c r="I17" s="489"/>
    </row>
    <row r="18" spans="1:9">
      <c r="A18" s="460">
        <f t="shared" si="1"/>
        <v>7</v>
      </c>
      <c r="B18" s="456" t="s">
        <v>1787</v>
      </c>
      <c r="D18" s="461">
        <v>1828054</v>
      </c>
      <c r="E18" s="462">
        <f>'WP - Allocation Factors'!$E$12</f>
        <v>0.54560419672058547</v>
      </c>
      <c r="F18" s="463">
        <f t="shared" si="0"/>
        <v>997393.93423185311</v>
      </c>
      <c r="H18" s="464"/>
      <c r="I18" s="489"/>
    </row>
    <row r="19" spans="1:9">
      <c r="A19" s="460">
        <f t="shared" si="1"/>
        <v>8</v>
      </c>
      <c r="B19" s="456" t="s">
        <v>1788</v>
      </c>
      <c r="D19" s="464">
        <v>1411</v>
      </c>
      <c r="E19" s="462">
        <f>'WP - Allocation Factors'!$E$12</f>
        <v>0.54560419672058547</v>
      </c>
      <c r="F19" s="463">
        <f t="shared" si="0"/>
        <v>769.84752157274613</v>
      </c>
      <c r="H19" s="464"/>
      <c r="I19" s="489"/>
    </row>
    <row r="20" spans="1:9" ht="15.75">
      <c r="A20" s="460">
        <f t="shared" si="1"/>
        <v>9</v>
      </c>
      <c r="B20" s="456" t="s">
        <v>1789</v>
      </c>
      <c r="D20" s="461">
        <v>1275000</v>
      </c>
      <c r="E20" s="462">
        <f>'WP - Allocation Factors'!$E$12</f>
        <v>0.54560419672058547</v>
      </c>
      <c r="F20" s="463">
        <f t="shared" si="0"/>
        <v>695645.35081874649</v>
      </c>
      <c r="H20" s="464"/>
      <c r="I20" s="489"/>
    </row>
    <row r="21" spans="1:9">
      <c r="A21" s="460">
        <f t="shared" si="1"/>
        <v>10</v>
      </c>
      <c r="B21" s="456" t="s">
        <v>1790</v>
      </c>
      <c r="D21" s="461">
        <v>0</v>
      </c>
      <c r="E21" s="462">
        <f>'WP - Allocation Factors'!$E$12</f>
        <v>0.54560419672058547</v>
      </c>
      <c r="F21" s="463">
        <f t="shared" si="0"/>
        <v>0</v>
      </c>
      <c r="H21" s="464"/>
      <c r="I21" s="489"/>
    </row>
    <row r="22" spans="1:9">
      <c r="A22" s="460">
        <f t="shared" si="1"/>
        <v>11</v>
      </c>
      <c r="B22" s="465" t="s">
        <v>1791</v>
      </c>
      <c r="D22" s="466">
        <f>SUM(D12:D21)</f>
        <v>27396664</v>
      </c>
      <c r="E22" s="462"/>
      <c r="F22" s="466">
        <f>SUM(F12:F21)</f>
        <v>14947734.854543781</v>
      </c>
      <c r="H22" s="491"/>
      <c r="I22" s="489"/>
    </row>
    <row r="23" spans="1:9">
      <c r="A23" s="460"/>
      <c r="D23" s="467"/>
    </row>
    <row r="24" spans="1:9">
      <c r="A24" s="460">
        <f>A22+1</f>
        <v>12</v>
      </c>
      <c r="B24" s="456" t="s">
        <v>1792</v>
      </c>
      <c r="D24" s="467"/>
      <c r="F24" s="468">
        <f>-SUM('EIA 412 Sch 7'!D10:E10,'EIA 412 Sch 7'!D21:E21,'EIA 412 Sch 7'!D23:E23)</f>
        <v>-6759981.5100000007</v>
      </c>
    </row>
    <row r="25" spans="1:9">
      <c r="A25" s="460"/>
      <c r="D25" s="467"/>
    </row>
    <row r="26" spans="1:9" s="469" customFormat="1" ht="13.5" thickBot="1">
      <c r="A26" s="458">
        <f>A24+1</f>
        <v>13</v>
      </c>
      <c r="B26" s="469" t="s">
        <v>1793</v>
      </c>
      <c r="D26" s="470"/>
      <c r="F26" s="471">
        <f>F22+F24</f>
        <v>8187753.3445437802</v>
      </c>
    </row>
    <row r="27" spans="1:9" ht="13.5" thickTop="1">
      <c r="A27" s="460"/>
      <c r="D27" s="467"/>
    </row>
    <row r="29" spans="1:9">
      <c r="B29" s="472" t="s">
        <v>1794</v>
      </c>
    </row>
    <row r="30" spans="1:9">
      <c r="B30" s="456" t="s">
        <v>1929</v>
      </c>
    </row>
    <row r="31" spans="1:9">
      <c r="B31" s="456" t="s">
        <v>1795</v>
      </c>
    </row>
  </sheetData>
  <printOptions horizontalCentered="1"/>
  <pageMargins left="0.7" right="0.7" top="0.75" bottom="0.75" header="0.3" footer="0.3"/>
  <pageSetup orientation="portrait" r:id="rId1"/>
  <headerFooter>
    <oddFooter>&amp;L&amp;10&amp;F&amp;R&amp;10&amp;A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0"/>
  <sheetViews>
    <sheetView zoomScale="80" zoomScaleNormal="80" zoomScaleSheetLayoutView="100" workbookViewId="0">
      <pane ySplit="8" topLeftCell="A9" activePane="bottomLeft" state="frozen"/>
      <selection activeCell="I22" sqref="I22"/>
      <selection pane="bottomLeft" activeCell="I22" sqref="I22"/>
    </sheetView>
  </sheetViews>
  <sheetFormatPr defaultColWidth="8.77734375" defaultRowHeight="12.75"/>
  <cols>
    <col min="1" max="1" width="8" style="456" customWidth="1"/>
    <col min="2" max="2" width="4.44140625" style="456" customWidth="1"/>
    <col min="3" max="3" width="24.77734375" style="456" bestFit="1" customWidth="1"/>
    <col min="4" max="5" width="10.77734375" style="456" customWidth="1"/>
    <col min="6" max="6" width="9.6640625" style="456" customWidth="1"/>
    <col min="7" max="7" width="1.77734375" style="456" customWidth="1"/>
    <col min="8" max="8" width="10.77734375" style="456" customWidth="1"/>
    <col min="9" max="9" width="1.77734375" style="475" customWidth="1"/>
    <col min="10" max="11" width="12.77734375" style="456" customWidth="1"/>
    <col min="12" max="12" width="1.77734375" style="475" customWidth="1"/>
    <col min="13" max="14" width="10.77734375" style="456" customWidth="1"/>
    <col min="15" max="15" width="1.77734375" style="475" customWidth="1"/>
    <col min="16" max="17" width="10.77734375" style="456" customWidth="1"/>
    <col min="18" max="18" width="1.77734375" style="475" customWidth="1"/>
    <col min="19" max="20" width="10.77734375" style="456" customWidth="1"/>
    <col min="21" max="21" width="1.77734375" style="475" customWidth="1"/>
    <col min="22" max="22" width="10.77734375" style="456" customWidth="1"/>
    <col min="23" max="25" width="8.77734375" style="456" customWidth="1"/>
    <col min="26" max="26" width="12.33203125" style="456" customWidth="1"/>
    <col min="27" max="16384" width="8.77734375" style="456"/>
  </cols>
  <sheetData>
    <row r="1" spans="1:25">
      <c r="A1" s="370" t="s">
        <v>495</v>
      </c>
      <c r="B1" s="455"/>
      <c r="C1" s="455"/>
      <c r="D1" s="455"/>
      <c r="E1" s="455"/>
      <c r="F1" s="455"/>
      <c r="G1" s="455"/>
      <c r="H1" s="455"/>
      <c r="I1" s="473"/>
      <c r="J1" s="455"/>
      <c r="K1" s="455"/>
      <c r="L1" s="473"/>
      <c r="M1" s="455"/>
      <c r="N1" s="455"/>
      <c r="O1" s="473"/>
      <c r="P1" s="455"/>
      <c r="Q1" s="455"/>
      <c r="R1" s="473"/>
      <c r="S1" s="455"/>
      <c r="T1" s="455"/>
      <c r="U1" s="473"/>
      <c r="V1" s="455"/>
    </row>
    <row r="2" spans="1:25">
      <c r="A2" s="143" t="s">
        <v>1796</v>
      </c>
      <c r="B2" s="455"/>
      <c r="C2" s="455"/>
      <c r="D2" s="455"/>
      <c r="E2" s="455"/>
      <c r="F2" s="455"/>
      <c r="G2" s="455"/>
      <c r="H2" s="455"/>
      <c r="I2" s="473"/>
      <c r="J2" s="455"/>
      <c r="K2" s="455"/>
      <c r="L2" s="473"/>
      <c r="M2" s="455"/>
      <c r="N2" s="455"/>
      <c r="O2" s="473"/>
      <c r="P2" s="455"/>
      <c r="Q2" s="455"/>
      <c r="R2" s="473"/>
      <c r="S2" s="455"/>
      <c r="T2" s="455"/>
      <c r="U2" s="473"/>
      <c r="V2" s="455"/>
    </row>
    <row r="3" spans="1:25">
      <c r="A3" s="372" t="str">
        <f>'WP - A&amp;G Expenses'!A3</f>
        <v>Fiscal Year Ending April 30, 2016</v>
      </c>
      <c r="B3" s="455"/>
      <c r="C3" s="455"/>
      <c r="D3" s="455"/>
      <c r="E3" s="455"/>
      <c r="F3" s="455"/>
      <c r="G3" s="455"/>
      <c r="H3" s="455"/>
      <c r="I3" s="473"/>
      <c r="J3" s="455"/>
      <c r="K3" s="455"/>
      <c r="L3" s="473"/>
      <c r="M3" s="455"/>
      <c r="N3" s="455"/>
      <c r="O3" s="473"/>
      <c r="P3" s="455"/>
      <c r="Q3" s="455"/>
      <c r="R3" s="473"/>
      <c r="S3" s="455"/>
      <c r="T3" s="455"/>
      <c r="U3" s="473"/>
      <c r="V3" s="455"/>
    </row>
    <row r="4" spans="1:25">
      <c r="A4" s="372"/>
      <c r="B4" s="455"/>
      <c r="C4" s="455"/>
      <c r="D4" s="455"/>
      <c r="E4" s="455"/>
      <c r="F4" s="455"/>
      <c r="G4" s="455"/>
      <c r="H4" s="455"/>
      <c r="I4" s="473"/>
      <c r="J4" s="455"/>
      <c r="K4" s="455"/>
      <c r="L4" s="473"/>
      <c r="M4" s="455"/>
      <c r="N4" s="455"/>
      <c r="O4" s="473"/>
      <c r="P4" s="455"/>
      <c r="Q4" s="455"/>
      <c r="R4" s="473"/>
      <c r="S4" s="455"/>
      <c r="T4" s="455"/>
      <c r="U4" s="473"/>
      <c r="V4" s="455"/>
    </row>
    <row r="6" spans="1:25">
      <c r="E6" s="458"/>
      <c r="F6" s="474"/>
      <c r="J6" s="476" t="s">
        <v>1797</v>
      </c>
      <c r="K6" s="476"/>
      <c r="L6" s="476"/>
      <c r="M6" s="476" t="s">
        <v>1797</v>
      </c>
      <c r="N6" s="455"/>
      <c r="O6" s="473"/>
      <c r="P6" s="476" t="s">
        <v>1797</v>
      </c>
      <c r="Q6" s="455"/>
      <c r="R6" s="473"/>
    </row>
    <row r="7" spans="1:25">
      <c r="D7" s="477" t="s">
        <v>1798</v>
      </c>
      <c r="E7" s="477"/>
      <c r="F7" s="458"/>
      <c r="H7" s="458" t="s">
        <v>9</v>
      </c>
      <c r="J7" s="457" t="s">
        <v>1799</v>
      </c>
      <c r="K7" s="457"/>
      <c r="L7" s="476"/>
      <c r="M7" s="457" t="s">
        <v>485</v>
      </c>
      <c r="N7" s="457"/>
      <c r="O7" s="476"/>
      <c r="P7" s="457" t="s">
        <v>483</v>
      </c>
      <c r="Q7" s="457"/>
      <c r="R7" s="476"/>
      <c r="X7" s="456" t="s">
        <v>446</v>
      </c>
    </row>
    <row r="8" spans="1:25" ht="13.5" thickBot="1">
      <c r="A8" s="459" t="s">
        <v>527</v>
      </c>
      <c r="B8" s="459" t="s">
        <v>1800</v>
      </c>
      <c r="C8" s="459" t="s">
        <v>1801</v>
      </c>
      <c r="D8" s="459" t="s">
        <v>505</v>
      </c>
      <c r="E8" s="459" t="s">
        <v>45</v>
      </c>
      <c r="F8" s="478" t="s">
        <v>9</v>
      </c>
      <c r="G8" s="474"/>
      <c r="H8" s="459" t="s">
        <v>1930</v>
      </c>
      <c r="J8" s="459" t="s">
        <v>505</v>
      </c>
      <c r="K8" s="459" t="s">
        <v>45</v>
      </c>
      <c r="L8" s="479"/>
      <c r="M8" s="459" t="s">
        <v>470</v>
      </c>
      <c r="N8" s="459" t="s">
        <v>471</v>
      </c>
      <c r="O8" s="479"/>
      <c r="P8" s="459" t="s">
        <v>470</v>
      </c>
      <c r="Q8" s="459" t="s">
        <v>471</v>
      </c>
      <c r="R8" s="479"/>
      <c r="S8" s="459" t="s">
        <v>1802</v>
      </c>
      <c r="T8" s="459" t="s">
        <v>517</v>
      </c>
      <c r="U8" s="479"/>
      <c r="V8" s="459" t="s">
        <v>9</v>
      </c>
    </row>
    <row r="9" spans="1:25">
      <c r="A9" s="474"/>
      <c r="B9" s="474"/>
      <c r="C9" s="474"/>
      <c r="G9" s="474"/>
      <c r="H9" s="474"/>
      <c r="J9" s="474"/>
      <c r="K9" s="474"/>
      <c r="L9" s="480"/>
      <c r="M9" s="474"/>
      <c r="N9" s="474"/>
      <c r="O9" s="480"/>
      <c r="P9" s="474"/>
      <c r="Q9" s="474"/>
      <c r="R9" s="480"/>
      <c r="S9" s="474"/>
      <c r="T9" s="474"/>
      <c r="U9" s="480"/>
      <c r="V9" s="474"/>
    </row>
    <row r="10" spans="1:25" ht="15.75">
      <c r="A10" s="481" t="s">
        <v>516</v>
      </c>
      <c r="B10" s="474"/>
      <c r="C10" s="474"/>
      <c r="G10" s="474"/>
      <c r="H10" s="474"/>
      <c r="J10" s="474"/>
      <c r="K10" s="474"/>
      <c r="L10" s="480"/>
      <c r="M10" s="474"/>
      <c r="N10" s="474"/>
      <c r="O10" s="480"/>
      <c r="P10" s="474"/>
      <c r="Q10" s="474"/>
      <c r="R10" s="480"/>
      <c r="S10" s="474"/>
      <c r="T10" s="474"/>
      <c r="U10" s="480"/>
      <c r="V10" s="474"/>
    </row>
    <row r="11" spans="1:25">
      <c r="A11" s="541"/>
      <c r="B11" s="541"/>
      <c r="C11" s="541"/>
      <c r="G11" s="474"/>
      <c r="H11" s="474"/>
      <c r="J11" s="474"/>
      <c r="K11" s="474"/>
      <c r="L11" s="480"/>
      <c r="M11" s="474"/>
      <c r="N11" s="474"/>
      <c r="O11" s="480"/>
      <c r="P11" s="474"/>
      <c r="Q11" s="474"/>
      <c r="R11" s="480"/>
      <c r="S11" s="474"/>
      <c r="T11" s="474"/>
      <c r="U11" s="480"/>
      <c r="V11" s="474"/>
    </row>
    <row r="12" spans="1:25" ht="13.5" thickBot="1">
      <c r="A12" s="499"/>
      <c r="B12" s="499"/>
      <c r="C12" s="499"/>
      <c r="D12" s="482"/>
      <c r="E12" s="482"/>
      <c r="F12" s="483" t="s">
        <v>2</v>
      </c>
      <c r="J12" s="469"/>
      <c r="K12" s="469"/>
      <c r="L12" s="484"/>
      <c r="M12" s="469"/>
      <c r="N12" s="469"/>
      <c r="O12" s="484"/>
      <c r="P12" s="469"/>
      <c r="Q12" s="469"/>
      <c r="R12" s="484"/>
      <c r="S12" s="458"/>
    </row>
    <row r="13" spans="1:25">
      <c r="A13" s="499">
        <v>450001</v>
      </c>
      <c r="B13" s="499" t="s">
        <v>160</v>
      </c>
      <c r="C13" s="485" t="s">
        <v>1803</v>
      </c>
      <c r="D13" s="486">
        <f t="shared" ref="D13:D28" si="0">1-E13</f>
        <v>0.92100000000000004</v>
      </c>
      <c r="E13" s="486">
        <v>7.9000000000000001E-2</v>
      </c>
      <c r="F13" s="487">
        <f t="shared" ref="F13:F66" si="1">E13+D13</f>
        <v>1</v>
      </c>
      <c r="H13" s="488">
        <v>410063.33</v>
      </c>
      <c r="J13" s="489">
        <f t="shared" ref="J13:J28" si="2">H13*D13</f>
        <v>377668.32693000004</v>
      </c>
      <c r="K13" s="489">
        <f t="shared" ref="K13:K28" si="3">H13*E13</f>
        <v>32395.003070000002</v>
      </c>
      <c r="L13" s="490"/>
      <c r="M13" s="489">
        <f t="shared" ref="M13:M28" si="4">J13</f>
        <v>377668.32693000004</v>
      </c>
      <c r="N13" s="489"/>
      <c r="O13" s="490"/>
      <c r="P13" s="489">
        <f t="shared" ref="P13:P28" si="5">K13</f>
        <v>32395.003070000002</v>
      </c>
      <c r="Q13" s="489"/>
      <c r="R13" s="490"/>
      <c r="S13" s="467"/>
      <c r="T13" s="467"/>
      <c r="U13" s="491"/>
      <c r="V13" s="489">
        <f t="shared" ref="V13:V41" si="6">SUM(M13:T13)</f>
        <v>410063.33</v>
      </c>
      <c r="X13" s="489">
        <f t="shared" ref="X13:X66" si="7">V13-H13</f>
        <v>0</v>
      </c>
      <c r="Y13" s="489"/>
    </row>
    <row r="14" spans="1:25">
      <c r="A14" s="499">
        <v>490147</v>
      </c>
      <c r="B14" s="499" t="s">
        <v>160</v>
      </c>
      <c r="C14" s="492" t="s">
        <v>1804</v>
      </c>
      <c r="D14" s="493">
        <f t="shared" si="0"/>
        <v>0.92100000000000004</v>
      </c>
      <c r="E14" s="493">
        <v>7.9000000000000001E-2</v>
      </c>
      <c r="F14" s="494">
        <f t="shared" si="1"/>
        <v>1</v>
      </c>
      <c r="H14" s="488">
        <v>23590.2</v>
      </c>
      <c r="J14" s="489">
        <f t="shared" si="2"/>
        <v>21726.574200000003</v>
      </c>
      <c r="K14" s="489">
        <f t="shared" si="3"/>
        <v>1863.6258</v>
      </c>
      <c r="L14" s="490"/>
      <c r="M14" s="489">
        <f t="shared" si="4"/>
        <v>21726.574200000003</v>
      </c>
      <c r="N14" s="489"/>
      <c r="O14" s="490"/>
      <c r="P14" s="489">
        <f t="shared" si="5"/>
        <v>1863.6258</v>
      </c>
      <c r="Q14" s="489"/>
      <c r="R14" s="490"/>
      <c r="S14" s="467"/>
      <c r="T14" s="467"/>
      <c r="U14" s="491"/>
      <c r="V14" s="489">
        <f t="shared" si="6"/>
        <v>23590.200000000004</v>
      </c>
      <c r="X14" s="489">
        <f t="shared" si="7"/>
        <v>0</v>
      </c>
      <c r="Y14" s="489"/>
    </row>
    <row r="15" spans="1:25">
      <c r="A15" s="499">
        <v>490171</v>
      </c>
      <c r="B15" s="499" t="s">
        <v>160</v>
      </c>
      <c r="C15" s="492" t="s">
        <v>1805</v>
      </c>
      <c r="D15" s="493">
        <f t="shared" si="0"/>
        <v>0.92100000000000004</v>
      </c>
      <c r="E15" s="493">
        <v>7.9000000000000001E-2</v>
      </c>
      <c r="F15" s="494">
        <f t="shared" si="1"/>
        <v>1</v>
      </c>
      <c r="H15" s="488">
        <v>117175.11</v>
      </c>
      <c r="J15" s="489">
        <f t="shared" si="2"/>
        <v>107918.27631</v>
      </c>
      <c r="K15" s="489">
        <f t="shared" si="3"/>
        <v>9256.8336899999995</v>
      </c>
      <c r="L15" s="490"/>
      <c r="M15" s="489">
        <f t="shared" si="4"/>
        <v>107918.27631</v>
      </c>
      <c r="N15" s="489"/>
      <c r="O15" s="490"/>
      <c r="P15" s="489">
        <f t="shared" si="5"/>
        <v>9256.8336899999995</v>
      </c>
      <c r="Q15" s="489"/>
      <c r="R15" s="490"/>
      <c r="S15" s="467"/>
      <c r="T15" s="467"/>
      <c r="U15" s="491"/>
      <c r="V15" s="489">
        <f t="shared" si="6"/>
        <v>117175.11</v>
      </c>
      <c r="X15" s="489">
        <f t="shared" si="7"/>
        <v>0</v>
      </c>
      <c r="Y15" s="489"/>
    </row>
    <row r="16" spans="1:25">
      <c r="A16" s="499">
        <v>490303</v>
      </c>
      <c r="B16" s="499" t="s">
        <v>160</v>
      </c>
      <c r="C16" s="492" t="s">
        <v>1806</v>
      </c>
      <c r="D16" s="493">
        <f t="shared" si="0"/>
        <v>0.92100000000000004</v>
      </c>
      <c r="E16" s="493">
        <v>7.9000000000000001E-2</v>
      </c>
      <c r="F16" s="494">
        <f t="shared" si="1"/>
        <v>1</v>
      </c>
      <c r="H16" s="488">
        <v>57539.8</v>
      </c>
      <c r="J16" s="489">
        <f t="shared" si="2"/>
        <v>52994.155800000008</v>
      </c>
      <c r="K16" s="489">
        <f t="shared" si="3"/>
        <v>4545.6442000000006</v>
      </c>
      <c r="L16" s="490"/>
      <c r="M16" s="489">
        <f t="shared" si="4"/>
        <v>52994.155800000008</v>
      </c>
      <c r="N16" s="489"/>
      <c r="O16" s="490"/>
      <c r="P16" s="489">
        <f t="shared" si="5"/>
        <v>4545.6442000000006</v>
      </c>
      <c r="Q16" s="489"/>
      <c r="R16" s="490"/>
      <c r="S16" s="467"/>
      <c r="T16" s="467"/>
      <c r="U16" s="491"/>
      <c r="V16" s="489">
        <f t="shared" si="6"/>
        <v>57539.80000000001</v>
      </c>
      <c r="X16" s="489">
        <f t="shared" si="7"/>
        <v>0</v>
      </c>
      <c r="Y16" s="489"/>
    </row>
    <row r="17" spans="1:25">
      <c r="A17" s="499">
        <v>490365</v>
      </c>
      <c r="B17" s="499" t="s">
        <v>160</v>
      </c>
      <c r="C17" s="492" t="s">
        <v>1807</v>
      </c>
      <c r="D17" s="493">
        <f t="shared" si="0"/>
        <v>0.92100000000000004</v>
      </c>
      <c r="E17" s="493">
        <v>7.9000000000000001E-2</v>
      </c>
      <c r="F17" s="494">
        <f t="shared" si="1"/>
        <v>1</v>
      </c>
      <c r="H17" s="488">
        <v>133060.07</v>
      </c>
      <c r="J17" s="489">
        <f t="shared" si="2"/>
        <v>122548.32447000001</v>
      </c>
      <c r="K17" s="489">
        <f t="shared" si="3"/>
        <v>10511.74553</v>
      </c>
      <c r="L17" s="490"/>
      <c r="M17" s="489">
        <f t="shared" si="4"/>
        <v>122548.32447000001</v>
      </c>
      <c r="N17" s="489"/>
      <c r="O17" s="490"/>
      <c r="P17" s="489">
        <f t="shared" si="5"/>
        <v>10511.74553</v>
      </c>
      <c r="Q17" s="489"/>
      <c r="R17" s="490"/>
      <c r="S17" s="467"/>
      <c r="T17" s="467"/>
      <c r="U17" s="491"/>
      <c r="V17" s="489">
        <f t="shared" si="6"/>
        <v>133060.07</v>
      </c>
      <c r="X17" s="489">
        <f t="shared" si="7"/>
        <v>0</v>
      </c>
      <c r="Y17" s="489"/>
    </row>
    <row r="18" spans="1:25">
      <c r="A18" s="499">
        <v>490614</v>
      </c>
      <c r="B18" s="499" t="s">
        <v>160</v>
      </c>
      <c r="C18" s="492" t="s">
        <v>1931</v>
      </c>
      <c r="D18" s="493">
        <f t="shared" si="0"/>
        <v>0.92100000000000004</v>
      </c>
      <c r="E18" s="493">
        <v>7.9000000000000001E-2</v>
      </c>
      <c r="F18" s="494">
        <f t="shared" si="1"/>
        <v>1</v>
      </c>
      <c r="H18" s="488">
        <v>29002.35</v>
      </c>
      <c r="J18" s="489">
        <f t="shared" si="2"/>
        <v>26711.164349999999</v>
      </c>
      <c r="K18" s="489">
        <f t="shared" si="3"/>
        <v>2291.1856499999999</v>
      </c>
      <c r="L18" s="490"/>
      <c r="M18" s="489">
        <f t="shared" si="4"/>
        <v>26711.164349999999</v>
      </c>
      <c r="N18" s="489"/>
      <c r="O18" s="490"/>
      <c r="P18" s="489">
        <f t="shared" si="5"/>
        <v>2291.1856499999999</v>
      </c>
      <c r="Q18" s="489"/>
      <c r="R18" s="490"/>
      <c r="S18" s="467"/>
      <c r="T18" s="467"/>
      <c r="U18" s="491"/>
      <c r="V18" s="489">
        <f t="shared" si="6"/>
        <v>29002.35</v>
      </c>
      <c r="X18" s="489">
        <f t="shared" si="7"/>
        <v>0</v>
      </c>
      <c r="Y18" s="489"/>
    </row>
    <row r="19" spans="1:25">
      <c r="A19" s="499">
        <v>490618</v>
      </c>
      <c r="B19" s="499" t="s">
        <v>160</v>
      </c>
      <c r="C19" s="492" t="s">
        <v>1808</v>
      </c>
      <c r="D19" s="493">
        <f t="shared" si="0"/>
        <v>0.92100000000000004</v>
      </c>
      <c r="E19" s="493">
        <v>7.9000000000000001E-2</v>
      </c>
      <c r="F19" s="494">
        <f t="shared" si="1"/>
        <v>1</v>
      </c>
      <c r="H19" s="488">
        <v>26589.1</v>
      </c>
      <c r="J19" s="489">
        <f t="shared" si="2"/>
        <v>24488.561099999999</v>
      </c>
      <c r="K19" s="489">
        <f t="shared" si="3"/>
        <v>2100.5389</v>
      </c>
      <c r="L19" s="490"/>
      <c r="M19" s="489">
        <f t="shared" si="4"/>
        <v>24488.561099999999</v>
      </c>
      <c r="N19" s="489"/>
      <c r="O19" s="490"/>
      <c r="P19" s="489">
        <f t="shared" si="5"/>
        <v>2100.5389</v>
      </c>
      <c r="Q19" s="489"/>
      <c r="R19" s="490"/>
      <c r="S19" s="467"/>
      <c r="T19" s="467"/>
      <c r="U19" s="491"/>
      <c r="V19" s="489">
        <f t="shared" si="6"/>
        <v>26589.1</v>
      </c>
      <c r="X19" s="489">
        <f t="shared" si="7"/>
        <v>0</v>
      </c>
      <c r="Y19" s="489"/>
    </row>
    <row r="20" spans="1:25">
      <c r="A20" s="499">
        <v>490708</v>
      </c>
      <c r="B20" s="499" t="s">
        <v>160</v>
      </c>
      <c r="C20" s="492" t="s">
        <v>1809</v>
      </c>
      <c r="D20" s="493">
        <f t="shared" si="0"/>
        <v>0.92100000000000004</v>
      </c>
      <c r="E20" s="493">
        <v>7.9000000000000001E-2</v>
      </c>
      <c r="F20" s="494">
        <f t="shared" si="1"/>
        <v>1</v>
      </c>
      <c r="H20" s="488">
        <v>51320.44</v>
      </c>
      <c r="J20" s="489">
        <f t="shared" si="2"/>
        <v>47266.125240000001</v>
      </c>
      <c r="K20" s="489">
        <f t="shared" si="3"/>
        <v>4054.3147600000002</v>
      </c>
      <c r="L20" s="490"/>
      <c r="M20" s="489">
        <f t="shared" si="4"/>
        <v>47266.125240000001</v>
      </c>
      <c r="N20" s="489"/>
      <c r="O20" s="490"/>
      <c r="P20" s="489">
        <f t="shared" si="5"/>
        <v>4054.3147600000002</v>
      </c>
      <c r="Q20" s="489"/>
      <c r="R20" s="490"/>
      <c r="S20" s="467"/>
      <c r="T20" s="467"/>
      <c r="U20" s="491"/>
      <c r="V20" s="489">
        <f t="shared" si="6"/>
        <v>51320.44</v>
      </c>
      <c r="X20" s="489">
        <f t="shared" si="7"/>
        <v>0</v>
      </c>
      <c r="Y20" s="489"/>
    </row>
    <row r="21" spans="1:25">
      <c r="A21" s="499">
        <v>490712</v>
      </c>
      <c r="B21" s="499" t="s">
        <v>160</v>
      </c>
      <c r="C21" s="492" t="s">
        <v>1810</v>
      </c>
      <c r="D21" s="493">
        <f t="shared" si="0"/>
        <v>0.92100000000000004</v>
      </c>
      <c r="E21" s="493">
        <v>7.9000000000000001E-2</v>
      </c>
      <c r="F21" s="494">
        <f t="shared" si="1"/>
        <v>1</v>
      </c>
      <c r="H21" s="488">
        <v>432655.41</v>
      </c>
      <c r="J21" s="489">
        <f t="shared" si="2"/>
        <v>398475.63260999997</v>
      </c>
      <c r="K21" s="489">
        <f t="shared" si="3"/>
        <v>34179.777389999996</v>
      </c>
      <c r="L21" s="490"/>
      <c r="M21" s="489">
        <f t="shared" si="4"/>
        <v>398475.63260999997</v>
      </c>
      <c r="N21" s="489"/>
      <c r="O21" s="490"/>
      <c r="P21" s="489">
        <f t="shared" si="5"/>
        <v>34179.777389999996</v>
      </c>
      <c r="Q21" s="489"/>
      <c r="R21" s="490"/>
      <c r="S21" s="467"/>
      <c r="T21" s="467"/>
      <c r="U21" s="491"/>
      <c r="V21" s="489">
        <f t="shared" si="6"/>
        <v>432655.41</v>
      </c>
      <c r="X21" s="489">
        <f t="shared" si="7"/>
        <v>0</v>
      </c>
      <c r="Y21" s="489"/>
    </row>
    <row r="22" spans="1:25">
      <c r="A22" s="499">
        <v>490715</v>
      </c>
      <c r="B22" s="499" t="s">
        <v>160</v>
      </c>
      <c r="C22" s="492" t="s">
        <v>1811</v>
      </c>
      <c r="D22" s="493">
        <f t="shared" si="0"/>
        <v>0.92100000000000004</v>
      </c>
      <c r="E22" s="493">
        <v>7.9000000000000001E-2</v>
      </c>
      <c r="F22" s="494">
        <f t="shared" si="1"/>
        <v>1</v>
      </c>
      <c r="H22" s="488">
        <v>65547.53</v>
      </c>
      <c r="J22" s="489">
        <f t="shared" si="2"/>
        <v>60369.275130000002</v>
      </c>
      <c r="K22" s="489">
        <f t="shared" si="3"/>
        <v>5178.2548699999998</v>
      </c>
      <c r="L22" s="490"/>
      <c r="M22" s="489">
        <f t="shared" si="4"/>
        <v>60369.275130000002</v>
      </c>
      <c r="N22" s="489"/>
      <c r="O22" s="490"/>
      <c r="P22" s="489">
        <f t="shared" si="5"/>
        <v>5178.2548699999998</v>
      </c>
      <c r="Q22" s="489"/>
      <c r="R22" s="490"/>
      <c r="S22" s="467"/>
      <c r="T22" s="467"/>
      <c r="U22" s="491"/>
      <c r="V22" s="489">
        <f t="shared" si="6"/>
        <v>65547.53</v>
      </c>
      <c r="X22" s="489">
        <f t="shared" si="7"/>
        <v>0</v>
      </c>
      <c r="Y22" s="489"/>
    </row>
    <row r="23" spans="1:25">
      <c r="A23" s="499">
        <v>490718</v>
      </c>
      <c r="B23" s="499" t="s">
        <v>160</v>
      </c>
      <c r="C23" s="492" t="s">
        <v>1812</v>
      </c>
      <c r="D23" s="493">
        <f t="shared" si="0"/>
        <v>0.92100000000000004</v>
      </c>
      <c r="E23" s="493">
        <v>7.9000000000000001E-2</v>
      </c>
      <c r="F23" s="494">
        <f t="shared" si="1"/>
        <v>1</v>
      </c>
      <c r="H23" s="488">
        <v>70192.11</v>
      </c>
      <c r="J23" s="489">
        <f t="shared" si="2"/>
        <v>64646.93331</v>
      </c>
      <c r="K23" s="489">
        <f t="shared" si="3"/>
        <v>5545.1766900000002</v>
      </c>
      <c r="L23" s="490"/>
      <c r="M23" s="489">
        <f t="shared" si="4"/>
        <v>64646.93331</v>
      </c>
      <c r="N23" s="489"/>
      <c r="O23" s="490"/>
      <c r="P23" s="489">
        <f t="shared" si="5"/>
        <v>5545.1766900000002</v>
      </c>
      <c r="Q23" s="489"/>
      <c r="R23" s="490"/>
      <c r="S23" s="467"/>
      <c r="T23" s="467"/>
      <c r="U23" s="491"/>
      <c r="V23" s="489">
        <f t="shared" si="6"/>
        <v>70192.11</v>
      </c>
      <c r="X23" s="489">
        <f t="shared" si="7"/>
        <v>0</v>
      </c>
      <c r="Y23" s="489"/>
    </row>
    <row r="24" spans="1:25">
      <c r="A24" s="499">
        <v>490764</v>
      </c>
      <c r="B24" s="499" t="s">
        <v>160</v>
      </c>
      <c r="C24" s="492" t="s">
        <v>1813</v>
      </c>
      <c r="D24" s="493">
        <f t="shared" si="0"/>
        <v>0.92100000000000004</v>
      </c>
      <c r="E24" s="493">
        <v>7.9000000000000001E-2</v>
      </c>
      <c r="F24" s="494">
        <f t="shared" si="1"/>
        <v>1</v>
      </c>
      <c r="H24" s="488">
        <v>51947.45</v>
      </c>
      <c r="J24" s="489">
        <f t="shared" si="2"/>
        <v>47843.601450000002</v>
      </c>
      <c r="K24" s="489">
        <f t="shared" si="3"/>
        <v>4103.8485499999997</v>
      </c>
      <c r="L24" s="490"/>
      <c r="M24" s="489">
        <f t="shared" si="4"/>
        <v>47843.601450000002</v>
      </c>
      <c r="N24" s="489"/>
      <c r="O24" s="490"/>
      <c r="P24" s="489">
        <f t="shared" si="5"/>
        <v>4103.8485499999997</v>
      </c>
      <c r="Q24" s="489"/>
      <c r="R24" s="490"/>
      <c r="S24" s="467"/>
      <c r="T24" s="467"/>
      <c r="U24" s="491"/>
      <c r="V24" s="489">
        <f t="shared" si="6"/>
        <v>51947.450000000004</v>
      </c>
      <c r="X24" s="489">
        <f t="shared" si="7"/>
        <v>0</v>
      </c>
      <c r="Y24" s="489"/>
    </row>
    <row r="25" spans="1:25">
      <c r="A25" s="499">
        <v>490769</v>
      </c>
      <c r="B25" s="499" t="s">
        <v>160</v>
      </c>
      <c r="C25" s="492" t="s">
        <v>1814</v>
      </c>
      <c r="D25" s="493">
        <f t="shared" si="0"/>
        <v>0.92100000000000004</v>
      </c>
      <c r="E25" s="493">
        <v>7.9000000000000001E-2</v>
      </c>
      <c r="F25" s="494">
        <f t="shared" si="1"/>
        <v>1</v>
      </c>
      <c r="H25" s="488">
        <v>77287.73</v>
      </c>
      <c r="J25" s="489">
        <f t="shared" si="2"/>
        <v>71181.999330000006</v>
      </c>
      <c r="K25" s="489">
        <f t="shared" si="3"/>
        <v>6105.7306699999999</v>
      </c>
      <c r="L25" s="490"/>
      <c r="M25" s="489">
        <f t="shared" si="4"/>
        <v>71181.999330000006</v>
      </c>
      <c r="N25" s="489"/>
      <c r="O25" s="490"/>
      <c r="P25" s="489">
        <f t="shared" si="5"/>
        <v>6105.7306699999999</v>
      </c>
      <c r="Q25" s="489"/>
      <c r="R25" s="490"/>
      <c r="S25" s="467"/>
      <c r="T25" s="467"/>
      <c r="U25" s="491"/>
      <c r="V25" s="489">
        <f t="shared" si="6"/>
        <v>77287.73000000001</v>
      </c>
      <c r="X25" s="489">
        <f t="shared" si="7"/>
        <v>0</v>
      </c>
      <c r="Y25" s="489"/>
    </row>
    <row r="26" spans="1:25">
      <c r="A26" s="499">
        <v>490822</v>
      </c>
      <c r="B26" s="499" t="s">
        <v>160</v>
      </c>
      <c r="C26" s="492" t="s">
        <v>1815</v>
      </c>
      <c r="D26" s="493">
        <f t="shared" si="0"/>
        <v>0.92100000000000004</v>
      </c>
      <c r="E26" s="493">
        <v>7.9000000000000001E-2</v>
      </c>
      <c r="F26" s="494">
        <f t="shared" si="1"/>
        <v>1</v>
      </c>
      <c r="H26" s="488">
        <v>102132.19</v>
      </c>
      <c r="J26" s="489">
        <f t="shared" si="2"/>
        <v>94063.74699</v>
      </c>
      <c r="K26" s="489">
        <f t="shared" si="3"/>
        <v>8068.44301</v>
      </c>
      <c r="L26" s="490"/>
      <c r="M26" s="489">
        <f t="shared" si="4"/>
        <v>94063.74699</v>
      </c>
      <c r="N26" s="489"/>
      <c r="O26" s="490"/>
      <c r="P26" s="489">
        <f t="shared" si="5"/>
        <v>8068.44301</v>
      </c>
      <c r="Q26" s="489"/>
      <c r="R26" s="490"/>
      <c r="S26" s="467"/>
      <c r="T26" s="467"/>
      <c r="U26" s="491"/>
      <c r="V26" s="489">
        <f t="shared" si="6"/>
        <v>102132.19</v>
      </c>
      <c r="X26" s="489">
        <f t="shared" si="7"/>
        <v>0</v>
      </c>
      <c r="Y26" s="489"/>
    </row>
    <row r="27" spans="1:25">
      <c r="A27" s="499">
        <v>490904</v>
      </c>
      <c r="B27" s="499" t="s">
        <v>160</v>
      </c>
      <c r="C27" s="492" t="s">
        <v>1816</v>
      </c>
      <c r="D27" s="493">
        <f t="shared" si="0"/>
        <v>0.92100000000000004</v>
      </c>
      <c r="E27" s="493">
        <v>7.9000000000000001E-2</v>
      </c>
      <c r="F27" s="494">
        <f t="shared" si="1"/>
        <v>1</v>
      </c>
      <c r="H27" s="488">
        <v>55383.01</v>
      </c>
      <c r="J27" s="489">
        <f t="shared" si="2"/>
        <v>51007.752210000006</v>
      </c>
      <c r="K27" s="489">
        <f t="shared" si="3"/>
        <v>4375.2577900000006</v>
      </c>
      <c r="L27" s="490"/>
      <c r="M27" s="489">
        <f t="shared" si="4"/>
        <v>51007.752210000006</v>
      </c>
      <c r="N27" s="489"/>
      <c r="O27" s="490"/>
      <c r="P27" s="489">
        <f t="shared" si="5"/>
        <v>4375.2577900000006</v>
      </c>
      <c r="Q27" s="489"/>
      <c r="R27" s="490"/>
      <c r="S27" s="467"/>
      <c r="T27" s="467"/>
      <c r="U27" s="491"/>
      <c r="V27" s="489">
        <f t="shared" si="6"/>
        <v>55383.010000000009</v>
      </c>
      <c r="X27" s="489">
        <f t="shared" si="7"/>
        <v>0</v>
      </c>
      <c r="Y27" s="489"/>
    </row>
    <row r="28" spans="1:25" ht="13.5" thickBot="1">
      <c r="A28" s="499">
        <v>490917</v>
      </c>
      <c r="B28" s="499" t="s">
        <v>160</v>
      </c>
      <c r="C28" s="495" t="s">
        <v>1817</v>
      </c>
      <c r="D28" s="496">
        <f t="shared" si="0"/>
        <v>0.92100000000000004</v>
      </c>
      <c r="E28" s="496">
        <v>7.9000000000000001E-2</v>
      </c>
      <c r="F28" s="497">
        <f t="shared" si="1"/>
        <v>1</v>
      </c>
      <c r="H28" s="488">
        <v>48213.38</v>
      </c>
      <c r="J28" s="489">
        <f t="shared" si="2"/>
        <v>44404.522980000002</v>
      </c>
      <c r="K28" s="489">
        <f t="shared" si="3"/>
        <v>3808.8570199999999</v>
      </c>
      <c r="L28" s="490"/>
      <c r="M28" s="489">
        <f t="shared" si="4"/>
        <v>44404.522980000002</v>
      </c>
      <c r="N28" s="489"/>
      <c r="O28" s="490"/>
      <c r="P28" s="489">
        <f t="shared" si="5"/>
        <v>3808.8570199999999</v>
      </c>
      <c r="Q28" s="489"/>
      <c r="R28" s="490"/>
      <c r="S28" s="467"/>
      <c r="T28" s="467"/>
      <c r="U28" s="491"/>
      <c r="V28" s="489">
        <f t="shared" si="6"/>
        <v>48213.380000000005</v>
      </c>
      <c r="X28" s="489">
        <f t="shared" si="7"/>
        <v>0</v>
      </c>
      <c r="Y28" s="489"/>
    </row>
    <row r="29" spans="1:25">
      <c r="A29" s="499">
        <v>499999</v>
      </c>
      <c r="B29" s="499" t="s">
        <v>160</v>
      </c>
      <c r="C29" s="542" t="s">
        <v>1932</v>
      </c>
      <c r="D29" s="493">
        <f>'WP - Allocation Factors'!$E$26</f>
        <v>0.7758663932920995</v>
      </c>
      <c r="E29" s="493">
        <f>'WP - Allocation Factors'!$E$25</f>
        <v>0.2241336067079005</v>
      </c>
      <c r="F29" s="498">
        <f t="shared" ref="F29" si="8">E29+D29</f>
        <v>1</v>
      </c>
      <c r="H29" s="488">
        <v>26508.23</v>
      </c>
      <c r="J29" s="489"/>
      <c r="K29" s="489"/>
      <c r="L29" s="490"/>
      <c r="M29" s="489">
        <f t="shared" ref="M29" si="9">H29*D29</f>
        <v>20566.84480265743</v>
      </c>
      <c r="N29" s="489"/>
      <c r="O29" s="490"/>
      <c r="P29" s="489">
        <f t="shared" ref="P29" si="10">H29*E29</f>
        <v>5941.385197342569</v>
      </c>
      <c r="Q29" s="489"/>
      <c r="R29" s="490"/>
      <c r="S29" s="467"/>
      <c r="T29" s="467"/>
      <c r="U29" s="491"/>
      <c r="V29" s="489">
        <f t="shared" ref="V29" si="11">SUM(M29:T29)</f>
        <v>26508.23</v>
      </c>
      <c r="X29" s="489">
        <f t="shared" ref="X29" si="12">V29-H29</f>
        <v>0</v>
      </c>
      <c r="Y29" s="489"/>
    </row>
    <row r="30" spans="1:25">
      <c r="A30" s="499">
        <v>510201</v>
      </c>
      <c r="B30" s="499" t="s">
        <v>160</v>
      </c>
      <c r="C30" s="499" t="s">
        <v>1818</v>
      </c>
      <c r="D30" s="493">
        <f>'WP - Allocation Factors'!$E$26</f>
        <v>0.7758663932920995</v>
      </c>
      <c r="E30" s="493">
        <f>'WP - Allocation Factors'!$E$25</f>
        <v>0.2241336067079005</v>
      </c>
      <c r="F30" s="498">
        <f t="shared" si="1"/>
        <v>1</v>
      </c>
      <c r="H30" s="488">
        <v>575759.17000000004</v>
      </c>
      <c r="J30" s="467"/>
      <c r="K30" s="467"/>
      <c r="L30" s="491"/>
      <c r="M30" s="489">
        <f t="shared" ref="M30:M48" si="13">H30*D30</f>
        <v>446712.19063275278</v>
      </c>
      <c r="N30" s="489"/>
      <c r="O30" s="490"/>
      <c r="P30" s="489">
        <f t="shared" ref="P30:P48" si="14">H30*E30</f>
        <v>129046.97936724723</v>
      </c>
      <c r="Q30" s="489"/>
      <c r="R30" s="490"/>
      <c r="S30" s="467"/>
      <c r="T30" s="467"/>
      <c r="U30" s="491"/>
      <c r="V30" s="489">
        <f t="shared" si="6"/>
        <v>575759.17000000004</v>
      </c>
      <c r="X30" s="489">
        <f t="shared" si="7"/>
        <v>0</v>
      </c>
      <c r="Y30" s="489"/>
    </row>
    <row r="31" spans="1:25">
      <c r="A31" s="499">
        <v>510202</v>
      </c>
      <c r="B31" s="499" t="s">
        <v>160</v>
      </c>
      <c r="C31" s="499" t="s">
        <v>1819</v>
      </c>
      <c r="D31" s="493">
        <f>'WP - Allocation Factors'!$E$26</f>
        <v>0.7758663932920995</v>
      </c>
      <c r="E31" s="493">
        <f>'WP - Allocation Factors'!$E$25</f>
        <v>0.2241336067079005</v>
      </c>
      <c r="F31" s="498">
        <f t="shared" si="1"/>
        <v>1</v>
      </c>
      <c r="H31" s="488">
        <v>271437.34000000003</v>
      </c>
      <c r="J31" s="467"/>
      <c r="K31" s="467"/>
      <c r="L31" s="491"/>
      <c r="M31" s="489">
        <f t="shared" si="13"/>
        <v>210599.10999060134</v>
      </c>
      <c r="N31" s="489"/>
      <c r="O31" s="490"/>
      <c r="P31" s="489">
        <f t="shared" si="14"/>
        <v>60838.230009398678</v>
      </c>
      <c r="Q31" s="489"/>
      <c r="R31" s="490"/>
      <c r="S31" s="467"/>
      <c r="T31" s="467"/>
      <c r="U31" s="491"/>
      <c r="V31" s="489">
        <f t="shared" si="6"/>
        <v>271437.34000000003</v>
      </c>
      <c r="X31" s="489">
        <f t="shared" si="7"/>
        <v>0</v>
      </c>
      <c r="Y31" s="489"/>
    </row>
    <row r="32" spans="1:25">
      <c r="A32" s="499">
        <v>510206</v>
      </c>
      <c r="B32" s="499" t="s">
        <v>160</v>
      </c>
      <c r="C32" s="499" t="s">
        <v>1820</v>
      </c>
      <c r="D32" s="493">
        <f>'WP - Allocation Factors'!$E$26</f>
        <v>0.7758663932920995</v>
      </c>
      <c r="E32" s="493">
        <f>'WP - Allocation Factors'!$E$25</f>
        <v>0.2241336067079005</v>
      </c>
      <c r="F32" s="498">
        <f t="shared" si="1"/>
        <v>1</v>
      </c>
      <c r="H32" s="488">
        <v>24091.93</v>
      </c>
      <c r="J32" s="467"/>
      <c r="K32" s="467"/>
      <c r="L32" s="491"/>
      <c r="M32" s="489">
        <f t="shared" si="13"/>
        <v>18692.118836545731</v>
      </c>
      <c r="N32" s="489"/>
      <c r="O32" s="490"/>
      <c r="P32" s="489">
        <f t="shared" si="14"/>
        <v>5399.8111634542693</v>
      </c>
      <c r="Q32" s="489"/>
      <c r="R32" s="490"/>
      <c r="S32" s="467"/>
      <c r="T32" s="467"/>
      <c r="U32" s="491"/>
      <c r="V32" s="489">
        <f t="shared" si="6"/>
        <v>24091.93</v>
      </c>
      <c r="X32" s="489">
        <f t="shared" si="7"/>
        <v>0</v>
      </c>
      <c r="Y32" s="489"/>
    </row>
    <row r="33" spans="1:25">
      <c r="A33" s="499">
        <v>510207</v>
      </c>
      <c r="B33" s="499" t="s">
        <v>160</v>
      </c>
      <c r="C33" s="499" t="s">
        <v>1821</v>
      </c>
      <c r="D33" s="493">
        <f>'WP - Allocation Factors'!$E$26</f>
        <v>0.7758663932920995</v>
      </c>
      <c r="E33" s="493">
        <f>'WP - Allocation Factors'!$E$25</f>
        <v>0.2241336067079005</v>
      </c>
      <c r="F33" s="498">
        <f t="shared" si="1"/>
        <v>1</v>
      </c>
      <c r="H33" s="488">
        <v>694.91</v>
      </c>
      <c r="J33" s="467"/>
      <c r="K33" s="467"/>
      <c r="L33" s="491"/>
      <c r="M33" s="489">
        <f t="shared" si="13"/>
        <v>539.15731536261285</v>
      </c>
      <c r="N33" s="489"/>
      <c r="O33" s="490"/>
      <c r="P33" s="489">
        <f t="shared" si="14"/>
        <v>155.75268463738712</v>
      </c>
      <c r="Q33" s="489"/>
      <c r="R33" s="490"/>
      <c r="S33" s="467"/>
      <c r="T33" s="467"/>
      <c r="U33" s="491"/>
      <c r="V33" s="489">
        <f t="shared" si="6"/>
        <v>694.91</v>
      </c>
      <c r="X33" s="489">
        <f t="shared" si="7"/>
        <v>0</v>
      </c>
      <c r="Y33" s="489"/>
    </row>
    <row r="34" spans="1:25">
      <c r="A34" s="499">
        <v>520105</v>
      </c>
      <c r="B34" s="499" t="s">
        <v>148</v>
      </c>
      <c r="C34" s="499" t="s">
        <v>1822</v>
      </c>
      <c r="D34" s="493">
        <f>'WP - Allocation Factors'!$E$26</f>
        <v>0.7758663932920995</v>
      </c>
      <c r="E34" s="493">
        <f>'WP - Allocation Factors'!$E$25</f>
        <v>0.2241336067079005</v>
      </c>
      <c r="F34" s="498">
        <f t="shared" si="1"/>
        <v>1</v>
      </c>
      <c r="H34" s="488">
        <v>0</v>
      </c>
      <c r="J34" s="467"/>
      <c r="K34" s="467"/>
      <c r="L34" s="491"/>
      <c r="M34" s="489">
        <f t="shared" si="13"/>
        <v>0</v>
      </c>
      <c r="N34" s="489"/>
      <c r="O34" s="490"/>
      <c r="P34" s="489">
        <f t="shared" si="14"/>
        <v>0</v>
      </c>
      <c r="Q34" s="489"/>
      <c r="R34" s="490"/>
      <c r="S34" s="467"/>
      <c r="T34" s="467"/>
      <c r="U34" s="491"/>
      <c r="V34" s="489">
        <f t="shared" si="6"/>
        <v>0</v>
      </c>
      <c r="X34" s="489">
        <f t="shared" si="7"/>
        <v>0</v>
      </c>
      <c r="Y34" s="489"/>
    </row>
    <row r="35" spans="1:25">
      <c r="A35" s="499">
        <v>520204</v>
      </c>
      <c r="B35" s="499" t="s">
        <v>148</v>
      </c>
      <c r="C35" s="499" t="s">
        <v>1823</v>
      </c>
      <c r="D35" s="493">
        <f>'WP - Allocation Factors'!$E$26</f>
        <v>0.7758663932920995</v>
      </c>
      <c r="E35" s="493">
        <f>'WP - Allocation Factors'!$E$25</f>
        <v>0.2241336067079005</v>
      </c>
      <c r="F35" s="498">
        <f t="shared" si="1"/>
        <v>1</v>
      </c>
      <c r="H35" s="488">
        <v>17230.75</v>
      </c>
      <c r="J35" s="467"/>
      <c r="K35" s="467"/>
      <c r="L35" s="491"/>
      <c r="M35" s="489">
        <f t="shared" si="13"/>
        <v>13368.759856217843</v>
      </c>
      <c r="N35" s="489"/>
      <c r="O35" s="490"/>
      <c r="P35" s="489">
        <f t="shared" si="14"/>
        <v>3861.9901437821563</v>
      </c>
      <c r="Q35" s="489"/>
      <c r="R35" s="490"/>
      <c r="S35" s="467"/>
      <c r="T35" s="467"/>
      <c r="U35" s="491"/>
      <c r="V35" s="489">
        <f t="shared" si="6"/>
        <v>17230.75</v>
      </c>
      <c r="X35" s="489">
        <f t="shared" si="7"/>
        <v>0</v>
      </c>
      <c r="Y35" s="489"/>
    </row>
    <row r="36" spans="1:25">
      <c r="A36" s="499">
        <v>520400</v>
      </c>
      <c r="B36" s="499" t="s">
        <v>148</v>
      </c>
      <c r="C36" s="499" t="s">
        <v>1824</v>
      </c>
      <c r="D36" s="493">
        <f>'WP - Allocation Factors'!$E$26</f>
        <v>0.7758663932920995</v>
      </c>
      <c r="E36" s="493">
        <f>'WP - Allocation Factors'!$E$25</f>
        <v>0.2241336067079005</v>
      </c>
      <c r="F36" s="498">
        <f t="shared" si="1"/>
        <v>1</v>
      </c>
      <c r="H36" s="488">
        <v>1572.35</v>
      </c>
      <c r="J36" s="467"/>
      <c r="K36" s="467"/>
      <c r="L36" s="491"/>
      <c r="M36" s="489">
        <f t="shared" si="13"/>
        <v>1219.9335234928326</v>
      </c>
      <c r="N36" s="489"/>
      <c r="O36" s="490"/>
      <c r="P36" s="489">
        <f t="shared" si="14"/>
        <v>352.41647650716732</v>
      </c>
      <c r="Q36" s="489"/>
      <c r="R36" s="490"/>
      <c r="S36" s="467"/>
      <c r="T36" s="467"/>
      <c r="U36" s="491"/>
      <c r="V36" s="489">
        <f t="shared" si="6"/>
        <v>1572.35</v>
      </c>
      <c r="X36" s="489">
        <f t="shared" si="7"/>
        <v>0</v>
      </c>
      <c r="Y36" s="489"/>
    </row>
    <row r="37" spans="1:25">
      <c r="A37" s="499">
        <v>520500</v>
      </c>
      <c r="B37" s="499" t="s">
        <v>148</v>
      </c>
      <c r="C37" s="499" t="s">
        <v>1825</v>
      </c>
      <c r="D37" s="493">
        <f>'WP - Allocation Factors'!$E$26</f>
        <v>0.7758663932920995</v>
      </c>
      <c r="E37" s="493">
        <f>'WP - Allocation Factors'!$E$25</f>
        <v>0.2241336067079005</v>
      </c>
      <c r="F37" s="498">
        <f t="shared" si="1"/>
        <v>1</v>
      </c>
      <c r="H37" s="488">
        <v>50858.51</v>
      </c>
      <c r="J37" s="467"/>
      <c r="K37" s="467"/>
      <c r="L37" s="491"/>
      <c r="M37" s="489">
        <f t="shared" si="13"/>
        <v>39459.408721910178</v>
      </c>
      <c r="N37" s="489"/>
      <c r="O37" s="490"/>
      <c r="P37" s="489">
        <f t="shared" si="14"/>
        <v>11399.101278089825</v>
      </c>
      <c r="Q37" s="489"/>
      <c r="R37" s="490"/>
      <c r="S37" s="467"/>
      <c r="T37" s="467"/>
      <c r="U37" s="491"/>
      <c r="V37" s="489">
        <f t="shared" si="6"/>
        <v>50858.51</v>
      </c>
      <c r="X37" s="489">
        <f t="shared" si="7"/>
        <v>0</v>
      </c>
      <c r="Y37" s="489"/>
    </row>
    <row r="38" spans="1:25">
      <c r="A38" s="499">
        <v>520504</v>
      </c>
      <c r="B38" s="499" t="s">
        <v>148</v>
      </c>
      <c r="C38" s="499" t="s">
        <v>1826</v>
      </c>
      <c r="D38" s="493">
        <f>'WP - Allocation Factors'!$E$26</f>
        <v>0.7758663932920995</v>
      </c>
      <c r="E38" s="493">
        <f>'WP - Allocation Factors'!$E$25</f>
        <v>0.2241336067079005</v>
      </c>
      <c r="F38" s="498">
        <f t="shared" si="1"/>
        <v>1</v>
      </c>
      <c r="H38" s="488">
        <v>137.94</v>
      </c>
      <c r="J38" s="467"/>
      <c r="K38" s="467"/>
      <c r="L38" s="491"/>
      <c r="M38" s="489">
        <f t="shared" si="13"/>
        <v>107.02301029071221</v>
      </c>
      <c r="N38" s="489"/>
      <c r="O38" s="490"/>
      <c r="P38" s="489">
        <f t="shared" si="14"/>
        <v>30.916989709287794</v>
      </c>
      <c r="Q38" s="489"/>
      <c r="R38" s="490"/>
      <c r="S38" s="467"/>
      <c r="T38" s="467"/>
      <c r="U38" s="491"/>
      <c r="V38" s="489">
        <f t="shared" si="6"/>
        <v>137.94</v>
      </c>
      <c r="X38" s="489">
        <f t="shared" si="7"/>
        <v>0</v>
      </c>
      <c r="Y38" s="489"/>
    </row>
    <row r="39" spans="1:25">
      <c r="A39" s="499">
        <v>520514</v>
      </c>
      <c r="B39" s="499" t="s">
        <v>148</v>
      </c>
      <c r="C39" s="499" t="s">
        <v>1827</v>
      </c>
      <c r="D39" s="493">
        <f>'WP - Allocation Factors'!$E$26</f>
        <v>0.7758663932920995</v>
      </c>
      <c r="E39" s="493">
        <f>'WP - Allocation Factors'!$E$25</f>
        <v>0.2241336067079005</v>
      </c>
      <c r="F39" s="498">
        <f t="shared" si="1"/>
        <v>1</v>
      </c>
      <c r="H39" s="488">
        <v>9991.64</v>
      </c>
      <c r="J39" s="467"/>
      <c r="K39" s="467"/>
      <c r="L39" s="491"/>
      <c r="M39" s="489">
        <f t="shared" si="13"/>
        <v>7752.1776898730723</v>
      </c>
      <c r="N39" s="489"/>
      <c r="O39" s="490"/>
      <c r="P39" s="489">
        <f t="shared" si="14"/>
        <v>2239.4623101269267</v>
      </c>
      <c r="Q39" s="489"/>
      <c r="R39" s="490"/>
      <c r="S39" s="467"/>
      <c r="T39" s="467"/>
      <c r="U39" s="491"/>
      <c r="V39" s="489">
        <f t="shared" si="6"/>
        <v>9991.64</v>
      </c>
      <c r="X39" s="489">
        <f t="shared" si="7"/>
        <v>0</v>
      </c>
      <c r="Y39" s="489"/>
    </row>
    <row r="40" spans="1:25">
      <c r="A40" s="499">
        <v>531115</v>
      </c>
      <c r="B40" s="499" t="s">
        <v>148</v>
      </c>
      <c r="C40" s="499" t="s">
        <v>1828</v>
      </c>
      <c r="D40" s="493">
        <f>'WP - Allocation Factors'!$E$26</f>
        <v>0.7758663932920995</v>
      </c>
      <c r="E40" s="493">
        <f>'WP - Allocation Factors'!$E$25</f>
        <v>0.2241336067079005</v>
      </c>
      <c r="F40" s="498">
        <f t="shared" si="1"/>
        <v>1</v>
      </c>
      <c r="H40" s="488">
        <v>456786.08</v>
      </c>
      <c r="J40" s="467"/>
      <c r="K40" s="467"/>
      <c r="L40" s="491"/>
      <c r="M40" s="489">
        <f t="shared" si="13"/>
        <v>354404.96839563642</v>
      </c>
      <c r="N40" s="489"/>
      <c r="O40" s="490"/>
      <c r="P40" s="489">
        <f t="shared" si="14"/>
        <v>102381.11160436358</v>
      </c>
      <c r="Q40" s="489"/>
      <c r="R40" s="490"/>
      <c r="S40" s="467"/>
      <c r="T40" s="467"/>
      <c r="U40" s="491"/>
      <c r="V40" s="489">
        <f t="shared" si="6"/>
        <v>456786.08</v>
      </c>
      <c r="X40" s="489">
        <f t="shared" si="7"/>
        <v>0</v>
      </c>
      <c r="Y40" s="489"/>
    </row>
    <row r="41" spans="1:25">
      <c r="A41" s="499">
        <v>531301</v>
      </c>
      <c r="B41" s="499" t="s">
        <v>148</v>
      </c>
      <c r="C41" s="499" t="s">
        <v>1829</v>
      </c>
      <c r="D41" s="493">
        <f>'WP - Allocation Factors'!$E$26</f>
        <v>0.7758663932920995</v>
      </c>
      <c r="E41" s="493">
        <f>'WP - Allocation Factors'!$E$25</f>
        <v>0.2241336067079005</v>
      </c>
      <c r="F41" s="498">
        <f t="shared" si="1"/>
        <v>1</v>
      </c>
      <c r="H41" s="488">
        <v>59475.09</v>
      </c>
      <c r="J41" s="467"/>
      <c r="K41" s="467"/>
      <c r="L41" s="491"/>
      <c r="M41" s="489">
        <f t="shared" si="13"/>
        <v>46144.723569023008</v>
      </c>
      <c r="N41" s="489"/>
      <c r="O41" s="490"/>
      <c r="P41" s="489">
        <f t="shared" si="14"/>
        <v>13330.366430976985</v>
      </c>
      <c r="Q41" s="489"/>
      <c r="R41" s="490"/>
      <c r="S41" s="467"/>
      <c r="T41" s="467"/>
      <c r="U41" s="491"/>
      <c r="V41" s="489">
        <f t="shared" si="6"/>
        <v>59475.09</v>
      </c>
      <c r="X41" s="489">
        <f t="shared" si="7"/>
        <v>0</v>
      </c>
      <c r="Y41" s="489"/>
    </row>
    <row r="42" spans="1:25">
      <c r="A42" s="499">
        <v>531304</v>
      </c>
      <c r="B42" s="499" t="s">
        <v>148</v>
      </c>
      <c r="C42" s="499" t="s">
        <v>1830</v>
      </c>
      <c r="D42" s="493">
        <f>'WP - Allocation Factors'!$E$26</f>
        <v>0.7758663932920995</v>
      </c>
      <c r="E42" s="493">
        <f>'WP - Allocation Factors'!$E$25</f>
        <v>0.2241336067079005</v>
      </c>
      <c r="F42" s="498">
        <f t="shared" si="1"/>
        <v>1</v>
      </c>
      <c r="H42" s="488">
        <v>99173.22</v>
      </c>
      <c r="J42" s="467"/>
      <c r="K42" s="467"/>
      <c r="L42" s="491"/>
      <c r="M42" s="489">
        <f t="shared" si="13"/>
        <v>76945.168512563905</v>
      </c>
      <c r="N42" s="489"/>
      <c r="O42" s="490"/>
      <c r="P42" s="489">
        <f t="shared" si="14"/>
        <v>22228.051487436092</v>
      </c>
      <c r="Q42" s="489"/>
      <c r="R42" s="490"/>
      <c r="S42" s="467"/>
      <c r="T42" s="467"/>
      <c r="U42" s="491"/>
      <c r="V42" s="489">
        <f t="shared" ref="V42:V66" si="15">SUM(M42:T42)</f>
        <v>99173.22</v>
      </c>
      <c r="X42" s="489">
        <f t="shared" si="7"/>
        <v>0</v>
      </c>
      <c r="Y42" s="489"/>
    </row>
    <row r="43" spans="1:25">
      <c r="A43" s="499">
        <v>531410</v>
      </c>
      <c r="B43" s="499" t="s">
        <v>148</v>
      </c>
      <c r="C43" s="499" t="s">
        <v>1831</v>
      </c>
      <c r="D43" s="493">
        <f>'WP - Allocation Factors'!$E$26</f>
        <v>0.7758663932920995</v>
      </c>
      <c r="E43" s="493">
        <f>'WP - Allocation Factors'!$E$25</f>
        <v>0.2241336067079005</v>
      </c>
      <c r="F43" s="498">
        <f t="shared" si="1"/>
        <v>1</v>
      </c>
      <c r="H43" s="488">
        <v>64326.720000000001</v>
      </c>
      <c r="J43" s="467"/>
      <c r="K43" s="467"/>
      <c r="L43" s="491"/>
      <c r="M43" s="489">
        <f t="shared" si="13"/>
        <v>49908.940238710762</v>
      </c>
      <c r="N43" s="489"/>
      <c r="O43" s="490"/>
      <c r="P43" s="489">
        <f t="shared" si="14"/>
        <v>14417.779761289237</v>
      </c>
      <c r="Q43" s="489"/>
      <c r="R43" s="490"/>
      <c r="S43" s="467"/>
      <c r="T43" s="467"/>
      <c r="U43" s="491"/>
      <c r="V43" s="489">
        <f t="shared" si="15"/>
        <v>64326.720000000001</v>
      </c>
      <c r="X43" s="489">
        <f t="shared" si="7"/>
        <v>0</v>
      </c>
      <c r="Y43" s="489"/>
    </row>
    <row r="44" spans="1:25">
      <c r="A44" s="499">
        <v>531500</v>
      </c>
      <c r="B44" s="499" t="s">
        <v>148</v>
      </c>
      <c r="C44" s="499" t="s">
        <v>1832</v>
      </c>
      <c r="D44" s="493">
        <f>'WP - Allocation Factors'!$E$26</f>
        <v>0.7758663932920995</v>
      </c>
      <c r="E44" s="493">
        <f>'WP - Allocation Factors'!$E$25</f>
        <v>0.2241336067079005</v>
      </c>
      <c r="F44" s="498">
        <f t="shared" si="1"/>
        <v>1</v>
      </c>
      <c r="H44" s="488">
        <v>576.6</v>
      </c>
      <c r="J44" s="467"/>
      <c r="K44" s="467"/>
      <c r="L44" s="491"/>
      <c r="M44" s="489">
        <f t="shared" si="13"/>
        <v>447.36456237222461</v>
      </c>
      <c r="N44" s="489"/>
      <c r="O44" s="490"/>
      <c r="P44" s="489">
        <f t="shared" si="14"/>
        <v>129.23543762777544</v>
      </c>
      <c r="Q44" s="489"/>
      <c r="R44" s="490"/>
      <c r="S44" s="467"/>
      <c r="T44" s="467"/>
      <c r="U44" s="491"/>
      <c r="V44" s="489">
        <f t="shared" si="15"/>
        <v>576.6</v>
      </c>
      <c r="X44" s="489">
        <f t="shared" si="7"/>
        <v>0</v>
      </c>
      <c r="Y44" s="489"/>
    </row>
    <row r="45" spans="1:25">
      <c r="A45" s="499">
        <v>531701</v>
      </c>
      <c r="B45" s="499" t="s">
        <v>148</v>
      </c>
      <c r="C45" s="499" t="s">
        <v>1779</v>
      </c>
      <c r="D45" s="493">
        <f>'WP - Allocation Factors'!$E$26</f>
        <v>0.7758663932920995</v>
      </c>
      <c r="E45" s="493">
        <f>'WP - Allocation Factors'!$E$25</f>
        <v>0.2241336067079005</v>
      </c>
      <c r="F45" s="498">
        <f t="shared" si="1"/>
        <v>1</v>
      </c>
      <c r="H45" s="488">
        <v>203509.38</v>
      </c>
      <c r="J45" s="467"/>
      <c r="K45" s="467"/>
      <c r="L45" s="491"/>
      <c r="M45" s="489">
        <f t="shared" si="13"/>
        <v>157896.08866171134</v>
      </c>
      <c r="N45" s="489"/>
      <c r="O45" s="490"/>
      <c r="P45" s="489">
        <f t="shared" si="14"/>
        <v>45613.291338288676</v>
      </c>
      <c r="Q45" s="489"/>
      <c r="R45" s="490"/>
      <c r="S45" s="467"/>
      <c r="T45" s="467"/>
      <c r="U45" s="491"/>
      <c r="V45" s="489">
        <f t="shared" si="15"/>
        <v>203509.38</v>
      </c>
      <c r="X45" s="489">
        <f t="shared" si="7"/>
        <v>0</v>
      </c>
      <c r="Y45" s="489"/>
    </row>
    <row r="46" spans="1:25">
      <c r="A46" s="499">
        <v>543002</v>
      </c>
      <c r="B46" s="499" t="s">
        <v>148</v>
      </c>
      <c r="C46" s="499" t="s">
        <v>1833</v>
      </c>
      <c r="D46" s="493">
        <f>'WP - Allocation Factors'!$E$26</f>
        <v>0.7758663932920995</v>
      </c>
      <c r="E46" s="493">
        <f>'WP - Allocation Factors'!$E$25</f>
        <v>0.2241336067079005</v>
      </c>
      <c r="F46" s="498">
        <f t="shared" si="1"/>
        <v>1</v>
      </c>
      <c r="H46" s="488">
        <v>385</v>
      </c>
      <c r="J46" s="467"/>
      <c r="K46" s="467"/>
      <c r="L46" s="491"/>
      <c r="M46" s="489">
        <f t="shared" si="13"/>
        <v>298.70856141745833</v>
      </c>
      <c r="N46" s="489"/>
      <c r="O46" s="490"/>
      <c r="P46" s="489">
        <f t="shared" si="14"/>
        <v>86.291438582541687</v>
      </c>
      <c r="Q46" s="489"/>
      <c r="R46" s="490"/>
      <c r="S46" s="467"/>
      <c r="T46" s="467"/>
      <c r="U46" s="491"/>
      <c r="V46" s="489">
        <f t="shared" si="15"/>
        <v>385</v>
      </c>
      <c r="X46" s="489">
        <f t="shared" si="7"/>
        <v>0</v>
      </c>
      <c r="Y46" s="489"/>
    </row>
    <row r="47" spans="1:25">
      <c r="A47" s="499">
        <v>543003</v>
      </c>
      <c r="B47" s="499" t="s">
        <v>148</v>
      </c>
      <c r="C47" s="499" t="s">
        <v>1834</v>
      </c>
      <c r="D47" s="493">
        <f>'WP - Allocation Factors'!$E$26</f>
        <v>0.7758663932920995</v>
      </c>
      <c r="E47" s="493">
        <f>'WP - Allocation Factors'!$E$25</f>
        <v>0.2241336067079005</v>
      </c>
      <c r="F47" s="498">
        <f t="shared" si="1"/>
        <v>1</v>
      </c>
      <c r="H47" s="488">
        <v>9456.93</v>
      </c>
      <c r="J47" s="467"/>
      <c r="K47" s="467"/>
      <c r="L47" s="491"/>
      <c r="M47" s="489">
        <f t="shared" si="13"/>
        <v>7337.3141707158547</v>
      </c>
      <c r="N47" s="489"/>
      <c r="O47" s="490"/>
      <c r="P47" s="489">
        <f t="shared" si="14"/>
        <v>2119.6158292841455</v>
      </c>
      <c r="Q47" s="489"/>
      <c r="R47" s="490"/>
      <c r="S47" s="467"/>
      <c r="T47" s="467"/>
      <c r="U47" s="491"/>
      <c r="V47" s="489">
        <f t="shared" si="15"/>
        <v>9456.93</v>
      </c>
      <c r="X47" s="489">
        <f t="shared" si="7"/>
        <v>0</v>
      </c>
      <c r="Y47" s="489"/>
    </row>
    <row r="48" spans="1:25">
      <c r="A48" s="499">
        <v>554007</v>
      </c>
      <c r="B48" s="499" t="s">
        <v>148</v>
      </c>
      <c r="C48" s="499" t="s">
        <v>1835</v>
      </c>
      <c r="D48" s="493">
        <f>'WP - Allocation Factors'!$E$26</f>
        <v>0.7758663932920995</v>
      </c>
      <c r="E48" s="493">
        <f>'WP - Allocation Factors'!$E$25</f>
        <v>0.2241336067079005</v>
      </c>
      <c r="F48" s="498">
        <f t="shared" si="1"/>
        <v>1</v>
      </c>
      <c r="G48" s="499"/>
      <c r="H48" s="488">
        <v>25427.98</v>
      </c>
      <c r="I48" s="500"/>
      <c r="J48" s="501"/>
      <c r="K48" s="501"/>
      <c r="L48" s="502"/>
      <c r="M48" s="503">
        <f t="shared" si="13"/>
        <v>19728.715131303641</v>
      </c>
      <c r="N48" s="503"/>
      <c r="O48" s="504"/>
      <c r="P48" s="503">
        <f t="shared" si="14"/>
        <v>5699.2648686963594</v>
      </c>
      <c r="Q48" s="503"/>
      <c r="R48" s="504"/>
      <c r="S48" s="501"/>
      <c r="T48" s="501"/>
      <c r="U48" s="502"/>
      <c r="V48" s="503">
        <f t="shared" si="15"/>
        <v>25427.98</v>
      </c>
      <c r="W48" s="499"/>
      <c r="X48" s="489">
        <f t="shared" si="7"/>
        <v>0</v>
      </c>
      <c r="Y48" s="489"/>
    </row>
    <row r="49" spans="1:25" s="499" customFormat="1">
      <c r="A49" s="499">
        <v>605101</v>
      </c>
      <c r="B49" s="499" t="s">
        <v>148</v>
      </c>
      <c r="C49" s="499" t="s">
        <v>1836</v>
      </c>
      <c r="D49" s="493">
        <f>'WP - Allocation Factors'!$E$26</f>
        <v>0.7758663932920995</v>
      </c>
      <c r="E49" s="493">
        <f>'WP - Allocation Factors'!$E$25</f>
        <v>0.2241336067079005</v>
      </c>
      <c r="F49" s="498">
        <f t="shared" si="1"/>
        <v>1</v>
      </c>
      <c r="H49" s="488">
        <v>14292.71</v>
      </c>
      <c r="I49" s="500"/>
      <c r="J49" s="501"/>
      <c r="K49" s="501"/>
      <c r="L49" s="502"/>
      <c r="M49" s="503"/>
      <c r="N49" s="503">
        <f t="shared" ref="N49:N54" si="16">H49*D49</f>
        <v>11089.233358069923</v>
      </c>
      <c r="O49" s="504"/>
      <c r="P49" s="503"/>
      <c r="Q49" s="503">
        <f t="shared" ref="Q49:Q54" si="17">H49*E49</f>
        <v>3203.4766419300763</v>
      </c>
      <c r="R49" s="504"/>
      <c r="S49" s="501"/>
      <c r="T49" s="501"/>
      <c r="U49" s="502"/>
      <c r="V49" s="503">
        <f t="shared" si="15"/>
        <v>14292.71</v>
      </c>
      <c r="X49" s="489">
        <f t="shared" si="7"/>
        <v>0</v>
      </c>
      <c r="Y49" s="489"/>
    </row>
    <row r="50" spans="1:25" s="499" customFormat="1">
      <c r="A50" s="499">
        <v>605102</v>
      </c>
      <c r="B50" s="499" t="s">
        <v>148</v>
      </c>
      <c r="C50" s="499" t="s">
        <v>1875</v>
      </c>
      <c r="D50" s="493">
        <f>'WP - Allocation Factors'!$E$26</f>
        <v>0.7758663932920995</v>
      </c>
      <c r="E50" s="493">
        <f>'WP - Allocation Factors'!$E$25</f>
        <v>0.2241336067079005</v>
      </c>
      <c r="F50" s="498">
        <f t="shared" ref="F50" si="18">E50+D50</f>
        <v>1</v>
      </c>
      <c r="H50" s="488">
        <v>3750</v>
      </c>
      <c r="I50" s="500"/>
      <c r="J50" s="501"/>
      <c r="K50" s="501"/>
      <c r="L50" s="502"/>
      <c r="M50" s="503"/>
      <c r="N50" s="503">
        <f t="shared" si="16"/>
        <v>2909.4989748453731</v>
      </c>
      <c r="O50" s="504"/>
      <c r="P50" s="503"/>
      <c r="Q50" s="503">
        <f t="shared" si="17"/>
        <v>840.50102515462686</v>
      </c>
      <c r="R50" s="504"/>
      <c r="S50" s="501"/>
      <c r="T50" s="501"/>
      <c r="U50" s="502"/>
      <c r="V50" s="503">
        <f t="shared" ref="V50" si="19">SUM(M50:T50)</f>
        <v>3750</v>
      </c>
      <c r="X50" s="489"/>
      <c r="Y50" s="489"/>
    </row>
    <row r="51" spans="1:25" s="499" customFormat="1">
      <c r="A51" s="499">
        <v>605106</v>
      </c>
      <c r="B51" s="499" t="s">
        <v>148</v>
      </c>
      <c r="C51" s="499" t="s">
        <v>1837</v>
      </c>
      <c r="D51" s="493">
        <f>'WP - Allocation Factors'!$E$26</f>
        <v>0.7758663932920995</v>
      </c>
      <c r="E51" s="493">
        <f>'WP - Allocation Factors'!$E$25</f>
        <v>0.2241336067079005</v>
      </c>
      <c r="F51" s="498">
        <f t="shared" si="1"/>
        <v>1</v>
      </c>
      <c r="H51" s="488">
        <v>60876.36</v>
      </c>
      <c r="I51" s="500"/>
      <c r="J51" s="501"/>
      <c r="K51" s="501"/>
      <c r="L51" s="502"/>
      <c r="M51" s="503"/>
      <c r="N51" s="503">
        <f t="shared" si="16"/>
        <v>47231.921869951431</v>
      </c>
      <c r="O51" s="504"/>
      <c r="P51" s="503"/>
      <c r="Q51" s="503">
        <f t="shared" si="17"/>
        <v>13644.438130048566</v>
      </c>
      <c r="R51" s="504"/>
      <c r="S51" s="501"/>
      <c r="T51" s="501"/>
      <c r="U51" s="502"/>
      <c r="V51" s="503">
        <f t="shared" si="15"/>
        <v>60876.36</v>
      </c>
      <c r="X51" s="489">
        <f t="shared" si="7"/>
        <v>0</v>
      </c>
      <c r="Y51" s="489"/>
    </row>
    <row r="52" spans="1:25" s="499" customFormat="1">
      <c r="A52" s="499">
        <v>605113</v>
      </c>
      <c r="B52" s="499" t="s">
        <v>148</v>
      </c>
      <c r="C52" s="499" t="s">
        <v>1838</v>
      </c>
      <c r="D52" s="493">
        <f>'WP - Allocation Factors'!$E$26</f>
        <v>0.7758663932920995</v>
      </c>
      <c r="E52" s="493">
        <f>'WP - Allocation Factors'!$E$25</f>
        <v>0.2241336067079005</v>
      </c>
      <c r="F52" s="498">
        <f t="shared" si="1"/>
        <v>1</v>
      </c>
      <c r="H52" s="488">
        <v>928187.6</v>
      </c>
      <c r="I52" s="500"/>
      <c r="J52" s="501"/>
      <c r="K52" s="501"/>
      <c r="L52" s="502"/>
      <c r="M52" s="503"/>
      <c r="N52" s="503">
        <f t="shared" si="16"/>
        <v>720149.56551044993</v>
      </c>
      <c r="O52" s="504"/>
      <c r="P52" s="503"/>
      <c r="Q52" s="503">
        <f t="shared" si="17"/>
        <v>208038.03448955007</v>
      </c>
      <c r="R52" s="504"/>
      <c r="S52" s="501"/>
      <c r="T52" s="501"/>
      <c r="U52" s="502"/>
      <c r="V52" s="503">
        <f t="shared" si="15"/>
        <v>928187.6</v>
      </c>
      <c r="X52" s="489">
        <f t="shared" si="7"/>
        <v>0</v>
      </c>
      <c r="Y52" s="489"/>
    </row>
    <row r="53" spans="1:25" s="499" customFormat="1">
      <c r="A53" s="499">
        <v>605115</v>
      </c>
      <c r="B53" s="499" t="s">
        <v>148</v>
      </c>
      <c r="C53" s="499" t="s">
        <v>1839</v>
      </c>
      <c r="D53" s="493">
        <f>'WP - Allocation Factors'!$E$26</f>
        <v>0.7758663932920995</v>
      </c>
      <c r="E53" s="493">
        <f>'WP - Allocation Factors'!$E$25</f>
        <v>0.2241336067079005</v>
      </c>
      <c r="F53" s="498">
        <f t="shared" si="1"/>
        <v>1</v>
      </c>
      <c r="H53" s="488">
        <v>1880.3</v>
      </c>
      <c r="I53" s="500"/>
      <c r="J53" s="501"/>
      <c r="K53" s="501"/>
      <c r="L53" s="502"/>
      <c r="M53" s="503"/>
      <c r="N53" s="503">
        <f t="shared" si="16"/>
        <v>1458.8615793071347</v>
      </c>
      <c r="O53" s="504"/>
      <c r="P53" s="503"/>
      <c r="Q53" s="503">
        <f t="shared" si="17"/>
        <v>421.43842069286529</v>
      </c>
      <c r="R53" s="504"/>
      <c r="S53" s="501"/>
      <c r="T53" s="501"/>
      <c r="U53" s="502"/>
      <c r="V53" s="503">
        <f t="shared" si="15"/>
        <v>1880.3</v>
      </c>
      <c r="X53" s="489">
        <f t="shared" si="7"/>
        <v>0</v>
      </c>
      <c r="Y53" s="489"/>
    </row>
    <row r="54" spans="1:25" s="499" customFormat="1">
      <c r="A54" s="499">
        <v>605118</v>
      </c>
      <c r="B54" s="499" t="s">
        <v>148</v>
      </c>
      <c r="C54" s="499" t="s">
        <v>1840</v>
      </c>
      <c r="D54" s="493">
        <f>'WP - Allocation Factors'!$E$26</f>
        <v>0.7758663932920995</v>
      </c>
      <c r="E54" s="493">
        <f>'WP - Allocation Factors'!$E$25</f>
        <v>0.2241336067079005</v>
      </c>
      <c r="F54" s="498">
        <f t="shared" si="1"/>
        <v>1</v>
      </c>
      <c r="H54" s="488">
        <v>101007.21</v>
      </c>
      <c r="I54" s="500"/>
      <c r="J54" s="501"/>
      <c r="K54" s="501"/>
      <c r="L54" s="502"/>
      <c r="M54" s="503"/>
      <c r="N54" s="503">
        <f t="shared" si="16"/>
        <v>78368.099719197693</v>
      </c>
      <c r="O54" s="504"/>
      <c r="P54" s="503"/>
      <c r="Q54" s="503">
        <f t="shared" si="17"/>
        <v>22639.110280802317</v>
      </c>
      <c r="R54" s="504"/>
      <c r="S54" s="501"/>
      <c r="T54" s="501"/>
      <c r="U54" s="502"/>
      <c r="V54" s="503">
        <f t="shared" si="15"/>
        <v>101007.21</v>
      </c>
      <c r="X54" s="489">
        <f t="shared" si="7"/>
        <v>0</v>
      </c>
      <c r="Y54" s="489"/>
    </row>
    <row r="55" spans="1:25" s="499" customFormat="1">
      <c r="A55" s="499">
        <v>605125</v>
      </c>
      <c r="B55" s="499" t="s">
        <v>148</v>
      </c>
      <c r="C55" s="499" t="s">
        <v>1841</v>
      </c>
      <c r="D55" s="493">
        <f>'WP - Allocation Factors'!$E$26</f>
        <v>0.7758663932920995</v>
      </c>
      <c r="E55" s="493">
        <f>'WP - Allocation Factors'!$E$25</f>
        <v>0.2241336067079005</v>
      </c>
      <c r="F55" s="498">
        <f t="shared" si="1"/>
        <v>1</v>
      </c>
      <c r="H55" s="488">
        <v>9996.74</v>
      </c>
      <c r="I55" s="500"/>
      <c r="J55" s="501"/>
      <c r="K55" s="501"/>
      <c r="L55" s="502"/>
      <c r="M55" s="503">
        <f>H55*D55</f>
        <v>7756.1346084788629</v>
      </c>
      <c r="N55" s="503"/>
      <c r="O55" s="504"/>
      <c r="P55" s="503">
        <f>H55*E55</f>
        <v>2240.6053915211373</v>
      </c>
      <c r="Q55" s="503"/>
      <c r="R55" s="504"/>
      <c r="S55" s="501"/>
      <c r="T55" s="501"/>
      <c r="U55" s="502"/>
      <c r="V55" s="503">
        <f t="shared" si="15"/>
        <v>9996.74</v>
      </c>
      <c r="X55" s="489">
        <f t="shared" si="7"/>
        <v>0</v>
      </c>
      <c r="Y55" s="489"/>
    </row>
    <row r="56" spans="1:25" s="499" customFormat="1">
      <c r="A56" s="499">
        <v>690000</v>
      </c>
      <c r="B56" s="499" t="s">
        <v>148</v>
      </c>
      <c r="C56" s="499" t="s">
        <v>1802</v>
      </c>
      <c r="D56" s="493">
        <f>'WP - Allocation Factors'!$E$26</f>
        <v>0.7758663932920995</v>
      </c>
      <c r="E56" s="493">
        <f>'WP - Allocation Factors'!$E$25</f>
        <v>0.2241336067079005</v>
      </c>
      <c r="F56" s="498">
        <f t="shared" ref="F56" si="20">E56+D56</f>
        <v>1</v>
      </c>
      <c r="H56" s="488">
        <v>2086859.53</v>
      </c>
      <c r="I56" s="500"/>
      <c r="J56" s="501"/>
      <c r="K56" s="501"/>
      <c r="L56" s="502"/>
      <c r="M56" s="503"/>
      <c r="N56" s="503"/>
      <c r="O56" s="504"/>
      <c r="P56" s="503"/>
      <c r="Q56" s="503"/>
      <c r="R56" s="504"/>
      <c r="S56" s="501">
        <f>H56</f>
        <v>2086859.53</v>
      </c>
      <c r="T56" s="501"/>
      <c r="U56" s="502"/>
      <c r="V56" s="503">
        <f t="shared" ref="V56" si="21">SUM(M56:T56)</f>
        <v>2086859.53</v>
      </c>
      <c r="X56" s="489">
        <f t="shared" ref="X56" si="22">V56-H56</f>
        <v>0</v>
      </c>
      <c r="Y56" s="489"/>
    </row>
    <row r="57" spans="1:25" s="499" customFormat="1">
      <c r="A57" s="499">
        <v>707101</v>
      </c>
      <c r="B57" s="499" t="s">
        <v>148</v>
      </c>
      <c r="C57" s="499" t="s">
        <v>1842</v>
      </c>
      <c r="D57" s="493">
        <f>'WP - Allocation Factors'!$E$26</f>
        <v>0.7758663932920995</v>
      </c>
      <c r="E57" s="493">
        <f>'WP - Allocation Factors'!$E$25</f>
        <v>0.2241336067079005</v>
      </c>
      <c r="F57" s="498">
        <f t="shared" si="1"/>
        <v>1</v>
      </c>
      <c r="G57" s="456"/>
      <c r="H57" s="488">
        <v>0</v>
      </c>
      <c r="I57" s="475"/>
      <c r="J57" s="467"/>
      <c r="K57" s="467"/>
      <c r="L57" s="491"/>
      <c r="M57" s="489"/>
      <c r="N57" s="489"/>
      <c r="O57" s="490"/>
      <c r="P57" s="489"/>
      <c r="Q57" s="489"/>
      <c r="R57" s="490"/>
      <c r="S57" s="467"/>
      <c r="T57" s="489">
        <f>H57</f>
        <v>0</v>
      </c>
      <c r="U57" s="490"/>
      <c r="V57" s="489">
        <f t="shared" si="15"/>
        <v>0</v>
      </c>
      <c r="W57" s="456"/>
      <c r="X57" s="489">
        <f t="shared" si="7"/>
        <v>0</v>
      </c>
      <c r="Y57" s="489"/>
    </row>
    <row r="58" spans="1:25" s="499" customFormat="1">
      <c r="A58" s="499">
        <v>707300</v>
      </c>
      <c r="B58" s="499" t="s">
        <v>148</v>
      </c>
      <c r="C58" s="499" t="s">
        <v>1843</v>
      </c>
      <c r="D58" s="493">
        <f>'WP - Allocation Factors'!$E$26</f>
        <v>0.7758663932920995</v>
      </c>
      <c r="E58" s="493">
        <f>'WP - Allocation Factors'!$E$25</f>
        <v>0.2241336067079005</v>
      </c>
      <c r="F58" s="498">
        <f t="shared" si="1"/>
        <v>1</v>
      </c>
      <c r="G58" s="456"/>
      <c r="H58" s="488">
        <v>0</v>
      </c>
      <c r="I58" s="475"/>
      <c r="J58" s="467"/>
      <c r="K58" s="467"/>
      <c r="L58" s="491"/>
      <c r="M58" s="489">
        <f t="shared" ref="M58:M66" si="23">H58*D58</f>
        <v>0</v>
      </c>
      <c r="N58" s="489"/>
      <c r="O58" s="490"/>
      <c r="P58" s="489">
        <f t="shared" ref="P58:P66" si="24">H58*E58</f>
        <v>0</v>
      </c>
      <c r="Q58" s="489"/>
      <c r="R58" s="490"/>
      <c r="S58" s="467"/>
      <c r="T58" s="467"/>
      <c r="U58" s="491"/>
      <c r="V58" s="489">
        <f t="shared" si="15"/>
        <v>0</v>
      </c>
      <c r="W58" s="456"/>
      <c r="X58" s="489">
        <f t="shared" si="7"/>
        <v>0</v>
      </c>
      <c r="Y58" s="489"/>
    </row>
    <row r="59" spans="1:25" s="499" customFormat="1">
      <c r="A59" s="499">
        <v>707359</v>
      </c>
      <c r="B59" s="499" t="s">
        <v>148</v>
      </c>
      <c r="C59" s="499" t="s">
        <v>1844</v>
      </c>
      <c r="D59" s="493">
        <f>'WP - Allocation Factors'!$E$26</f>
        <v>0.7758663932920995</v>
      </c>
      <c r="E59" s="493">
        <f>'WP - Allocation Factors'!$E$25</f>
        <v>0.2241336067079005</v>
      </c>
      <c r="F59" s="498">
        <f t="shared" si="1"/>
        <v>1</v>
      </c>
      <c r="G59" s="456"/>
      <c r="H59" s="488">
        <v>12523.64</v>
      </c>
      <c r="I59" s="475"/>
      <c r="J59" s="467"/>
      <c r="K59" s="467"/>
      <c r="L59" s="491"/>
      <c r="M59" s="489">
        <f t="shared" si="23"/>
        <v>9716.6713976886676</v>
      </c>
      <c r="N59" s="489"/>
      <c r="O59" s="490"/>
      <c r="P59" s="489">
        <f t="shared" si="24"/>
        <v>2806.9686023113309</v>
      </c>
      <c r="Q59" s="489"/>
      <c r="R59" s="490"/>
      <c r="S59" s="467"/>
      <c r="T59" s="467"/>
      <c r="U59" s="491"/>
      <c r="V59" s="489">
        <f t="shared" si="15"/>
        <v>12523.64</v>
      </c>
      <c r="W59" s="456"/>
      <c r="X59" s="489">
        <f t="shared" si="7"/>
        <v>0</v>
      </c>
      <c r="Y59" s="489"/>
    </row>
    <row r="60" spans="1:25">
      <c r="A60" s="499">
        <v>707361</v>
      </c>
      <c r="B60" s="499" t="s">
        <v>148</v>
      </c>
      <c r="C60" s="499" t="s">
        <v>1845</v>
      </c>
      <c r="D60" s="493">
        <f>'WP - Allocation Factors'!$E$26</f>
        <v>0.7758663932920995</v>
      </c>
      <c r="E60" s="493">
        <f>'WP - Allocation Factors'!$E$25</f>
        <v>0.2241336067079005</v>
      </c>
      <c r="F60" s="498">
        <f t="shared" si="1"/>
        <v>1</v>
      </c>
      <c r="H60" s="488">
        <v>0</v>
      </c>
      <c r="J60" s="467"/>
      <c r="K60" s="467"/>
      <c r="L60" s="491"/>
      <c r="M60" s="489">
        <f t="shared" si="23"/>
        <v>0</v>
      </c>
      <c r="N60" s="489"/>
      <c r="O60" s="490"/>
      <c r="P60" s="489">
        <f t="shared" si="24"/>
        <v>0</v>
      </c>
      <c r="Q60" s="489"/>
      <c r="R60" s="490"/>
      <c r="S60" s="467"/>
      <c r="T60" s="467"/>
      <c r="U60" s="491"/>
      <c r="V60" s="489">
        <f t="shared" si="15"/>
        <v>0</v>
      </c>
      <c r="X60" s="489">
        <f t="shared" si="7"/>
        <v>0</v>
      </c>
      <c r="Y60" s="489"/>
    </row>
    <row r="61" spans="1:25">
      <c r="A61" s="499">
        <v>707363</v>
      </c>
      <c r="B61" s="499" t="s">
        <v>148</v>
      </c>
      <c r="C61" s="499" t="s">
        <v>1846</v>
      </c>
      <c r="D61" s="493">
        <f>'WP - Allocation Factors'!$E$26</f>
        <v>0.7758663932920995</v>
      </c>
      <c r="E61" s="493">
        <f>'WP - Allocation Factors'!$E$25</f>
        <v>0.2241336067079005</v>
      </c>
      <c r="F61" s="498">
        <f t="shared" si="1"/>
        <v>1</v>
      </c>
      <c r="H61" s="488">
        <v>-2637.1</v>
      </c>
      <c r="J61" s="467"/>
      <c r="K61" s="467"/>
      <c r="L61" s="491"/>
      <c r="M61" s="489">
        <f t="shared" si="23"/>
        <v>-2046.0372657505955</v>
      </c>
      <c r="N61" s="489"/>
      <c r="O61" s="490"/>
      <c r="P61" s="489">
        <f t="shared" si="24"/>
        <v>-591.06273424940434</v>
      </c>
      <c r="Q61" s="489"/>
      <c r="R61" s="490"/>
      <c r="S61" s="467"/>
      <c r="T61" s="467"/>
      <c r="U61" s="491"/>
      <c r="V61" s="489">
        <f t="shared" si="15"/>
        <v>-2637.1</v>
      </c>
      <c r="X61" s="489">
        <f t="shared" si="7"/>
        <v>0</v>
      </c>
      <c r="Y61" s="489"/>
    </row>
    <row r="62" spans="1:25">
      <c r="A62" s="499">
        <v>707401</v>
      </c>
      <c r="B62" s="499" t="s">
        <v>148</v>
      </c>
      <c r="C62" s="499" t="s">
        <v>1847</v>
      </c>
      <c r="D62" s="493">
        <f>'WP - Allocation Factors'!$E$26</f>
        <v>0.7758663932920995</v>
      </c>
      <c r="E62" s="493">
        <f>'WP - Allocation Factors'!$E$25</f>
        <v>0.2241336067079005</v>
      </c>
      <c r="F62" s="498">
        <f t="shared" si="1"/>
        <v>1</v>
      </c>
      <c r="H62" s="488">
        <v>0</v>
      </c>
      <c r="J62" s="467"/>
      <c r="K62" s="467"/>
      <c r="L62" s="491"/>
      <c r="M62" s="489">
        <f t="shared" si="23"/>
        <v>0</v>
      </c>
      <c r="N62" s="489"/>
      <c r="O62" s="490"/>
      <c r="P62" s="489">
        <f t="shared" si="24"/>
        <v>0</v>
      </c>
      <c r="Q62" s="489"/>
      <c r="R62" s="490"/>
      <c r="S62" s="467"/>
      <c r="T62" s="467"/>
      <c r="U62" s="491"/>
      <c r="V62" s="489">
        <f t="shared" si="15"/>
        <v>0</v>
      </c>
      <c r="X62" s="489">
        <f t="shared" si="7"/>
        <v>0</v>
      </c>
      <c r="Y62" s="489"/>
    </row>
    <row r="63" spans="1:25">
      <c r="A63" s="499">
        <v>707405</v>
      </c>
      <c r="B63" s="499" t="s">
        <v>148</v>
      </c>
      <c r="C63" s="499" t="s">
        <v>1848</v>
      </c>
      <c r="D63" s="493">
        <f>'WP - Allocation Factors'!$E$26</f>
        <v>0.7758663932920995</v>
      </c>
      <c r="E63" s="493">
        <f>'WP - Allocation Factors'!$E$25</f>
        <v>0.2241336067079005</v>
      </c>
      <c r="F63" s="498">
        <f t="shared" si="1"/>
        <v>1</v>
      </c>
      <c r="H63" s="488">
        <v>0</v>
      </c>
      <c r="J63" s="467"/>
      <c r="K63" s="467"/>
      <c r="L63" s="491"/>
      <c r="M63" s="489">
        <f t="shared" si="23"/>
        <v>0</v>
      </c>
      <c r="N63" s="489"/>
      <c r="O63" s="490"/>
      <c r="P63" s="489">
        <f t="shared" si="24"/>
        <v>0</v>
      </c>
      <c r="Q63" s="489"/>
      <c r="R63" s="490"/>
      <c r="S63" s="467"/>
      <c r="T63" s="467"/>
      <c r="U63" s="491"/>
      <c r="V63" s="489">
        <f t="shared" si="15"/>
        <v>0</v>
      </c>
      <c r="X63" s="489">
        <f t="shared" si="7"/>
        <v>0</v>
      </c>
      <c r="Y63" s="489"/>
    </row>
    <row r="64" spans="1:25">
      <c r="A64" s="499">
        <v>707500</v>
      </c>
      <c r="B64" s="499" t="s">
        <v>148</v>
      </c>
      <c r="C64" s="499" t="s">
        <v>1849</v>
      </c>
      <c r="D64" s="493">
        <f>'WP - Allocation Factors'!$E$26</f>
        <v>0.7758663932920995</v>
      </c>
      <c r="E64" s="493">
        <f>'WP - Allocation Factors'!$E$25</f>
        <v>0.2241336067079005</v>
      </c>
      <c r="F64" s="498">
        <f t="shared" si="1"/>
        <v>1</v>
      </c>
      <c r="H64" s="488">
        <v>0</v>
      </c>
      <c r="J64" s="467"/>
      <c r="K64" s="467"/>
      <c r="L64" s="491"/>
      <c r="M64" s="489">
        <f t="shared" si="23"/>
        <v>0</v>
      </c>
      <c r="N64" s="489"/>
      <c r="O64" s="490"/>
      <c r="P64" s="489">
        <f t="shared" si="24"/>
        <v>0</v>
      </c>
      <c r="Q64" s="489"/>
      <c r="R64" s="490"/>
      <c r="S64" s="467"/>
      <c r="T64" s="467"/>
      <c r="U64" s="491"/>
      <c r="V64" s="489">
        <f t="shared" si="15"/>
        <v>0</v>
      </c>
      <c r="X64" s="489">
        <f t="shared" si="7"/>
        <v>0</v>
      </c>
      <c r="Y64" s="489"/>
    </row>
    <row r="65" spans="1:25">
      <c r="A65" s="499">
        <v>707600</v>
      </c>
      <c r="B65" s="499" t="s">
        <v>148</v>
      </c>
      <c r="C65" s="499" t="s">
        <v>1850</v>
      </c>
      <c r="D65" s="493">
        <f>'WP - Allocation Factors'!$E$26</f>
        <v>0.7758663932920995</v>
      </c>
      <c r="E65" s="493">
        <f>'WP - Allocation Factors'!$E$25</f>
        <v>0.2241336067079005</v>
      </c>
      <c r="F65" s="498">
        <f t="shared" si="1"/>
        <v>1</v>
      </c>
      <c r="H65" s="488">
        <v>21168.11</v>
      </c>
      <c r="J65" s="467"/>
      <c r="K65" s="467"/>
      <c r="L65" s="491"/>
      <c r="M65" s="489">
        <f t="shared" si="23"/>
        <v>16423.625158510426</v>
      </c>
      <c r="N65" s="489"/>
      <c r="O65" s="490"/>
      <c r="P65" s="489">
        <f t="shared" si="24"/>
        <v>4744.484841489576</v>
      </c>
      <c r="Q65" s="489"/>
      <c r="R65" s="490"/>
      <c r="S65" s="467"/>
      <c r="T65" s="467"/>
      <c r="U65" s="491"/>
      <c r="V65" s="489">
        <f t="shared" si="15"/>
        <v>21168.11</v>
      </c>
      <c r="X65" s="489">
        <f t="shared" si="7"/>
        <v>0</v>
      </c>
      <c r="Y65" s="489"/>
    </row>
    <row r="66" spans="1:25">
      <c r="A66" s="499">
        <v>707700</v>
      </c>
      <c r="B66" s="499" t="s">
        <v>148</v>
      </c>
      <c r="C66" s="499" t="s">
        <v>1851</v>
      </c>
      <c r="D66" s="493">
        <f>'WP - Allocation Factors'!$E$26</f>
        <v>0.7758663932920995</v>
      </c>
      <c r="E66" s="493">
        <f>'WP - Allocation Factors'!$E$25</f>
        <v>0.2241336067079005</v>
      </c>
      <c r="F66" s="498">
        <f t="shared" si="1"/>
        <v>1</v>
      </c>
      <c r="H66" s="488">
        <v>0</v>
      </c>
      <c r="J66" s="467"/>
      <c r="K66" s="467"/>
      <c r="L66" s="491"/>
      <c r="M66" s="489">
        <f t="shared" si="23"/>
        <v>0</v>
      </c>
      <c r="N66" s="489"/>
      <c r="O66" s="490"/>
      <c r="P66" s="489">
        <f t="shared" si="24"/>
        <v>0</v>
      </c>
      <c r="Q66" s="489"/>
      <c r="R66" s="490"/>
      <c r="S66" s="467"/>
      <c r="T66" s="467"/>
      <c r="U66" s="491"/>
      <c r="V66" s="489">
        <f t="shared" si="15"/>
        <v>0</v>
      </c>
      <c r="X66" s="489">
        <f t="shared" si="7"/>
        <v>0</v>
      </c>
      <c r="Y66" s="489"/>
    </row>
    <row r="67" spans="1:25">
      <c r="D67" s="493"/>
      <c r="E67" s="493"/>
      <c r="F67" s="493"/>
      <c r="H67" s="461"/>
      <c r="J67" s="489"/>
      <c r="K67" s="489"/>
      <c r="L67" s="490"/>
      <c r="M67" s="489"/>
      <c r="N67" s="489"/>
      <c r="O67" s="490"/>
      <c r="P67" s="489"/>
      <c r="Q67" s="489"/>
      <c r="R67" s="490"/>
      <c r="S67" s="467"/>
      <c r="T67" s="467"/>
      <c r="U67" s="491"/>
      <c r="V67" s="489"/>
      <c r="X67" s="489"/>
      <c r="Y67" s="489"/>
    </row>
    <row r="68" spans="1:25">
      <c r="B68" s="499"/>
      <c r="C68" s="499"/>
      <c r="D68" s="493"/>
      <c r="E68" s="493"/>
      <c r="F68" s="498"/>
      <c r="G68" s="499"/>
      <c r="H68" s="488"/>
      <c r="I68" s="500"/>
      <c r="J68" s="501"/>
      <c r="K68" s="501"/>
      <c r="L68" s="502"/>
      <c r="M68" s="503"/>
      <c r="N68" s="503"/>
      <c r="O68" s="504"/>
      <c r="P68" s="503"/>
      <c r="Q68" s="503"/>
      <c r="R68" s="504"/>
      <c r="S68" s="501"/>
      <c r="T68" s="501"/>
      <c r="U68" s="502"/>
      <c r="V68" s="503"/>
      <c r="W68" s="499"/>
      <c r="X68" s="489"/>
      <c r="Y68" s="489"/>
    </row>
    <row r="69" spans="1:25">
      <c r="B69" s="499"/>
      <c r="C69" s="499"/>
      <c r="D69" s="493"/>
      <c r="E69" s="493"/>
      <c r="F69" s="498"/>
      <c r="G69" s="499"/>
      <c r="H69" s="488"/>
      <c r="I69" s="500"/>
      <c r="J69" s="501"/>
      <c r="K69" s="501"/>
      <c r="L69" s="502"/>
      <c r="M69" s="503"/>
      <c r="N69" s="503"/>
      <c r="O69" s="504"/>
      <c r="P69" s="503"/>
      <c r="Q69" s="503"/>
      <c r="R69" s="504"/>
      <c r="S69" s="501"/>
      <c r="T69" s="501"/>
      <c r="U69" s="502"/>
      <c r="V69" s="503"/>
      <c r="W69" s="499"/>
      <c r="X69" s="489"/>
      <c r="Y69" s="489"/>
    </row>
    <row r="70" spans="1:25" s="469" customFormat="1">
      <c r="C70" s="505" t="s">
        <v>1852</v>
      </c>
      <c r="H70" s="506">
        <f>SUM(H13:H69)</f>
        <v>6887004.080000001</v>
      </c>
      <c r="I70" s="484"/>
      <c r="J70" s="506">
        <f>SUM(J13:J69)</f>
        <v>1613314.9724099997</v>
      </c>
      <c r="K70" s="506">
        <f>SUM(K13:K69)</f>
        <v>138384.23759</v>
      </c>
      <c r="L70" s="507"/>
      <c r="M70" s="506">
        <f>SUM(M13:M69)</f>
        <v>3117294.082492087</v>
      </c>
      <c r="N70" s="506">
        <f>SUM(N13:N69)</f>
        <v>861207.18101182149</v>
      </c>
      <c r="O70" s="507"/>
      <c r="P70" s="506">
        <f>SUM(P13:P69)</f>
        <v>572856.28750791366</v>
      </c>
      <c r="Q70" s="506">
        <f>SUM(Q13:Q69)</f>
        <v>248786.99898817853</v>
      </c>
      <c r="R70" s="507"/>
      <c r="S70" s="506">
        <f>SUM(S13:S69)</f>
        <v>2086859.53</v>
      </c>
      <c r="T70" s="506">
        <f>SUM(T13:T69)</f>
        <v>0</v>
      </c>
      <c r="U70" s="507"/>
      <c r="V70" s="506">
        <f>SUM(V13:V69)</f>
        <v>6887004.080000001</v>
      </c>
      <c r="W70" s="484"/>
      <c r="X70" s="489">
        <f t="shared" ref="X70" si="25">V70-H70</f>
        <v>0</v>
      </c>
      <c r="Y70" s="489"/>
    </row>
    <row r="71" spans="1:25" s="469" customFormat="1">
      <c r="C71" s="505"/>
      <c r="H71" s="507"/>
      <c r="I71" s="484"/>
      <c r="J71" s="507"/>
      <c r="K71" s="507"/>
      <c r="L71" s="507"/>
      <c r="M71" s="507"/>
      <c r="N71" s="507"/>
      <c r="O71" s="507"/>
      <c r="P71" s="507"/>
      <c r="Q71" s="507"/>
      <c r="R71" s="507"/>
      <c r="S71" s="507"/>
      <c r="T71" s="507"/>
      <c r="U71" s="507"/>
      <c r="V71" s="507"/>
      <c r="W71" s="484"/>
      <c r="X71" s="489"/>
      <c r="Y71" s="489"/>
    </row>
    <row r="72" spans="1:25" s="469" customFormat="1">
      <c r="C72" s="505"/>
      <c r="H72" s="507"/>
      <c r="I72" s="484"/>
      <c r="J72" s="507"/>
      <c r="K72" s="507"/>
      <c r="L72" s="507"/>
      <c r="M72" s="507"/>
      <c r="N72" s="507"/>
      <c r="O72" s="507"/>
      <c r="P72" s="507"/>
      <c r="Q72" s="507"/>
      <c r="R72" s="507"/>
      <c r="S72" s="507"/>
      <c r="T72" s="507"/>
      <c r="U72" s="507"/>
      <c r="V72" s="507"/>
      <c r="W72" s="484"/>
      <c r="X72" s="489"/>
      <c r="Y72" s="489"/>
    </row>
    <row r="73" spans="1:25" s="469" customFormat="1">
      <c r="C73" s="505"/>
      <c r="H73" s="507"/>
      <c r="I73" s="484"/>
      <c r="J73" s="507"/>
      <c r="K73" s="507"/>
      <c r="L73" s="507"/>
      <c r="M73" s="507"/>
      <c r="N73" s="507"/>
      <c r="O73" s="507"/>
      <c r="P73" s="507"/>
      <c r="Q73" s="507"/>
      <c r="R73" s="507"/>
      <c r="S73" s="507"/>
      <c r="T73" s="507"/>
      <c r="U73" s="507"/>
      <c r="V73" s="507"/>
      <c r="W73" s="484"/>
      <c r="X73" s="489"/>
      <c r="Y73" s="489"/>
    </row>
    <row r="74" spans="1:25" s="469" customFormat="1">
      <c r="C74" s="505"/>
      <c r="H74" s="507"/>
      <c r="I74" s="484"/>
      <c r="J74" s="507"/>
      <c r="K74" s="507"/>
      <c r="L74" s="507"/>
      <c r="M74" s="507"/>
      <c r="N74" s="507"/>
      <c r="O74" s="507"/>
      <c r="P74" s="507"/>
      <c r="Q74" s="507"/>
      <c r="R74" s="507"/>
      <c r="S74" s="507"/>
      <c r="T74" s="507"/>
      <c r="U74" s="507"/>
      <c r="V74" s="507"/>
      <c r="W74" s="484"/>
      <c r="X74" s="489"/>
      <c r="Y74" s="489"/>
    </row>
    <row r="75" spans="1:25" s="469" customFormat="1">
      <c r="C75" s="505"/>
      <c r="H75" s="507"/>
      <c r="I75" s="484"/>
      <c r="J75" s="507"/>
      <c r="K75" s="507"/>
      <c r="L75" s="507"/>
      <c r="M75" s="507"/>
      <c r="N75" s="507"/>
      <c r="O75" s="507"/>
      <c r="P75" s="507"/>
      <c r="Q75" s="507"/>
      <c r="R75" s="507"/>
      <c r="S75" s="507"/>
      <c r="T75" s="507"/>
      <c r="U75" s="507"/>
      <c r="V75" s="507"/>
      <c r="W75" s="484"/>
      <c r="X75" s="489"/>
      <c r="Y75" s="489"/>
    </row>
    <row r="77" spans="1:25" ht="15.75">
      <c r="A77" s="508" t="s">
        <v>1853</v>
      </c>
      <c r="J77" s="479" t="s">
        <v>504</v>
      </c>
      <c r="K77" s="479"/>
      <c r="L77" s="479"/>
      <c r="M77" s="476"/>
      <c r="N77" s="476"/>
      <c r="O77" s="476"/>
      <c r="P77" s="476"/>
      <c r="Q77" s="476"/>
      <c r="R77" s="476"/>
    </row>
    <row r="78" spans="1:25">
      <c r="H78" s="458" t="s">
        <v>9</v>
      </c>
      <c r="J78" s="458" t="s">
        <v>1854</v>
      </c>
      <c r="K78" s="458"/>
      <c r="L78" s="479"/>
      <c r="M78" s="476"/>
      <c r="N78" s="476"/>
      <c r="O78" s="476"/>
      <c r="P78" s="457" t="s">
        <v>504</v>
      </c>
      <c r="Q78" s="457"/>
      <c r="R78" s="476"/>
      <c r="T78" s="458" t="s">
        <v>1855</v>
      </c>
      <c r="U78" s="479"/>
    </row>
    <row r="79" spans="1:25" ht="13.5" thickBot="1">
      <c r="A79" s="459" t="s">
        <v>527</v>
      </c>
      <c r="B79" s="459" t="s">
        <v>1800</v>
      </c>
      <c r="C79" s="459" t="s">
        <v>1801</v>
      </c>
      <c r="D79" s="474"/>
      <c r="E79" s="474"/>
      <c r="F79" s="474"/>
      <c r="G79" s="474"/>
      <c r="H79" s="459" t="str">
        <f>H8</f>
        <v>FY 2016</v>
      </c>
      <c r="J79" s="459" t="s">
        <v>1856</v>
      </c>
      <c r="K79" s="474"/>
      <c r="L79" s="480"/>
      <c r="M79" s="479"/>
      <c r="N79" s="479"/>
      <c r="O79" s="479"/>
      <c r="P79" s="459" t="s">
        <v>470</v>
      </c>
      <c r="Q79" s="459" t="s">
        <v>471</v>
      </c>
      <c r="R79" s="479"/>
      <c r="S79" s="459" t="s">
        <v>1802</v>
      </c>
      <c r="T79" s="459" t="s">
        <v>1857</v>
      </c>
      <c r="U79" s="479"/>
      <c r="V79" s="459" t="s">
        <v>9</v>
      </c>
      <c r="X79" s="456" t="s">
        <v>446</v>
      </c>
    </row>
    <row r="80" spans="1:25">
      <c r="M80" s="475"/>
      <c r="N80" s="475"/>
    </row>
    <row r="81" spans="1:28" ht="15">
      <c r="A81" s="456">
        <v>450001</v>
      </c>
      <c r="B81" s="456" t="s">
        <v>160</v>
      </c>
      <c r="C81" s="456" t="s">
        <v>1803</v>
      </c>
      <c r="G81" s="509"/>
      <c r="H81" s="461">
        <v>122236.01</v>
      </c>
      <c r="I81" s="491"/>
      <c r="J81" s="467">
        <f t="shared" ref="J81:J95" si="26">H81</f>
        <v>122236.01</v>
      </c>
      <c r="K81" s="467"/>
      <c r="L81" s="491"/>
      <c r="M81" s="491"/>
      <c r="N81" s="491"/>
      <c r="O81" s="491"/>
      <c r="P81" s="467">
        <f t="shared" ref="P81:P116" si="27">H81</f>
        <v>122236.01</v>
      </c>
      <c r="Q81" s="467"/>
      <c r="R81" s="491"/>
      <c r="S81" s="467"/>
      <c r="T81" s="467"/>
      <c r="U81" s="491"/>
      <c r="V81" s="467">
        <f t="shared" ref="V81:V125" si="28">SUM(P81:T81)</f>
        <v>122236.01</v>
      </c>
      <c r="X81" s="489">
        <f t="shared" ref="X81:X125" si="29">V81-H81</f>
        <v>0</v>
      </c>
      <c r="Y81" s="489"/>
      <c r="AA81" s="510"/>
      <c r="AB81" s="510"/>
    </row>
    <row r="82" spans="1:28" ht="15">
      <c r="A82" s="456">
        <v>490101</v>
      </c>
      <c r="B82" s="456" t="s">
        <v>160</v>
      </c>
      <c r="C82" s="456" t="s">
        <v>1858</v>
      </c>
      <c r="G82" s="509"/>
      <c r="H82" s="461">
        <v>62956.03</v>
      </c>
      <c r="I82" s="491"/>
      <c r="J82" s="467">
        <f t="shared" si="26"/>
        <v>62956.03</v>
      </c>
      <c r="K82" s="467"/>
      <c r="L82" s="491"/>
      <c r="M82" s="491"/>
      <c r="N82" s="491"/>
      <c r="O82" s="491"/>
      <c r="P82" s="467">
        <f t="shared" si="27"/>
        <v>62956.03</v>
      </c>
      <c r="Q82" s="467"/>
      <c r="R82" s="491"/>
      <c r="S82" s="467"/>
      <c r="T82" s="467"/>
      <c r="U82" s="491"/>
      <c r="V82" s="467">
        <f t="shared" si="28"/>
        <v>62956.03</v>
      </c>
      <c r="X82" s="489">
        <f t="shared" si="29"/>
        <v>0</v>
      </c>
      <c r="Y82" s="489"/>
      <c r="AA82" s="510"/>
      <c r="AB82" s="510"/>
    </row>
    <row r="83" spans="1:28" ht="15">
      <c r="A83" s="499">
        <v>490149</v>
      </c>
      <c r="B83" s="499" t="s">
        <v>160</v>
      </c>
      <c r="C83" s="499" t="s">
        <v>1859</v>
      </c>
      <c r="G83" s="509"/>
      <c r="H83" s="461">
        <v>21311.18</v>
      </c>
      <c r="I83" s="491"/>
      <c r="J83" s="467">
        <f t="shared" si="26"/>
        <v>21311.18</v>
      </c>
      <c r="K83" s="467"/>
      <c r="L83" s="491"/>
      <c r="M83" s="491"/>
      <c r="N83" s="491"/>
      <c r="O83" s="491"/>
      <c r="P83" s="467">
        <f t="shared" si="27"/>
        <v>21311.18</v>
      </c>
      <c r="Q83" s="467"/>
      <c r="R83" s="491"/>
      <c r="S83" s="467"/>
      <c r="T83" s="467"/>
      <c r="U83" s="491"/>
      <c r="V83" s="467">
        <f t="shared" si="28"/>
        <v>21311.18</v>
      </c>
      <c r="X83" s="489">
        <f t="shared" si="29"/>
        <v>0</v>
      </c>
      <c r="Y83" s="489"/>
      <c r="AA83" s="510"/>
      <c r="AB83" s="510"/>
    </row>
    <row r="84" spans="1:28" ht="15">
      <c r="A84" s="499">
        <v>490301</v>
      </c>
      <c r="B84" s="499" t="s">
        <v>160</v>
      </c>
      <c r="C84" s="499" t="s">
        <v>1860</v>
      </c>
      <c r="G84" s="509"/>
      <c r="H84" s="461">
        <v>52832.63</v>
      </c>
      <c r="I84" s="491"/>
      <c r="J84" s="467">
        <f t="shared" si="26"/>
        <v>52832.63</v>
      </c>
      <c r="K84" s="467"/>
      <c r="L84" s="491"/>
      <c r="M84" s="491"/>
      <c r="N84" s="491"/>
      <c r="O84" s="491"/>
      <c r="P84" s="467">
        <f t="shared" si="27"/>
        <v>52832.63</v>
      </c>
      <c r="Q84" s="467"/>
      <c r="R84" s="491"/>
      <c r="S84" s="467"/>
      <c r="T84" s="467"/>
      <c r="U84" s="491"/>
      <c r="V84" s="467">
        <f t="shared" si="28"/>
        <v>52832.63</v>
      </c>
      <c r="X84" s="489">
        <f t="shared" si="29"/>
        <v>0</v>
      </c>
      <c r="Y84" s="489"/>
      <c r="AA84" s="510"/>
      <c r="AB84" s="510"/>
    </row>
    <row r="85" spans="1:28" ht="15">
      <c r="A85" s="499">
        <v>490302</v>
      </c>
      <c r="B85" s="499" t="s">
        <v>160</v>
      </c>
      <c r="C85" s="499" t="s">
        <v>1861</v>
      </c>
      <c r="G85" s="509"/>
      <c r="H85" s="461">
        <v>36552.65</v>
      </c>
      <c r="I85" s="491"/>
      <c r="J85" s="467">
        <f t="shared" si="26"/>
        <v>36552.65</v>
      </c>
      <c r="K85" s="467"/>
      <c r="L85" s="491"/>
      <c r="M85" s="491"/>
      <c r="N85" s="491"/>
      <c r="O85" s="491"/>
      <c r="P85" s="467">
        <f t="shared" si="27"/>
        <v>36552.65</v>
      </c>
      <c r="Q85" s="467"/>
      <c r="R85" s="491"/>
      <c r="S85" s="467"/>
      <c r="T85" s="467"/>
      <c r="U85" s="491"/>
      <c r="V85" s="467">
        <f t="shared" si="28"/>
        <v>36552.65</v>
      </c>
      <c r="X85" s="489">
        <f t="shared" si="29"/>
        <v>0</v>
      </c>
      <c r="Y85" s="489"/>
      <c r="AA85" s="510"/>
      <c r="AB85" s="510"/>
    </row>
    <row r="86" spans="1:28" ht="15">
      <c r="A86" s="499">
        <v>490378</v>
      </c>
      <c r="B86" s="499" t="s">
        <v>160</v>
      </c>
      <c r="C86" s="499" t="s">
        <v>1933</v>
      </c>
      <c r="G86" s="509"/>
      <c r="H86" s="461">
        <v>2280</v>
      </c>
      <c r="I86" s="491"/>
      <c r="J86" s="467">
        <f t="shared" si="26"/>
        <v>2280</v>
      </c>
      <c r="K86" s="467"/>
      <c r="L86" s="491"/>
      <c r="M86" s="491"/>
      <c r="N86" s="491"/>
      <c r="O86" s="491"/>
      <c r="P86" s="467">
        <f t="shared" si="27"/>
        <v>2280</v>
      </c>
      <c r="Q86" s="467"/>
      <c r="R86" s="491"/>
      <c r="S86" s="467"/>
      <c r="T86" s="467"/>
      <c r="U86" s="491"/>
      <c r="V86" s="467">
        <f t="shared" si="28"/>
        <v>2280</v>
      </c>
      <c r="X86" s="489"/>
      <c r="Y86" s="489"/>
      <c r="AA86" s="510"/>
      <c r="AB86" s="510"/>
    </row>
    <row r="87" spans="1:28" ht="15">
      <c r="A87" s="499">
        <v>490618</v>
      </c>
      <c r="B87" s="499" t="s">
        <v>160</v>
      </c>
      <c r="C87" s="499" t="s">
        <v>1808</v>
      </c>
      <c r="G87" s="509"/>
      <c r="H87" s="461">
        <v>21219.15</v>
      </c>
      <c r="I87" s="491"/>
      <c r="J87" s="467">
        <f t="shared" si="26"/>
        <v>21219.15</v>
      </c>
      <c r="K87" s="467"/>
      <c r="L87" s="491"/>
      <c r="M87" s="491"/>
      <c r="N87" s="491"/>
      <c r="O87" s="491"/>
      <c r="P87" s="467">
        <f t="shared" si="27"/>
        <v>21219.15</v>
      </c>
      <c r="Q87" s="467"/>
      <c r="R87" s="491"/>
      <c r="S87" s="467"/>
      <c r="T87" s="467"/>
      <c r="U87" s="491"/>
      <c r="V87" s="467">
        <f t="shared" si="28"/>
        <v>21219.15</v>
      </c>
      <c r="X87" s="489">
        <f t="shared" si="29"/>
        <v>0</v>
      </c>
      <c r="Y87" s="489"/>
      <c r="AA87" s="510"/>
      <c r="AB87" s="510"/>
    </row>
    <row r="88" spans="1:28" ht="15">
      <c r="A88" s="499">
        <v>490701</v>
      </c>
      <c r="B88" s="499" t="s">
        <v>160</v>
      </c>
      <c r="C88" s="499" t="s">
        <v>1862</v>
      </c>
      <c r="G88" s="509"/>
      <c r="H88" s="461">
        <v>222012.28</v>
      </c>
      <c r="I88" s="491"/>
      <c r="J88" s="467">
        <f t="shared" si="26"/>
        <v>222012.28</v>
      </c>
      <c r="K88" s="467"/>
      <c r="L88" s="491"/>
      <c r="M88" s="491"/>
      <c r="N88" s="491"/>
      <c r="O88" s="491"/>
      <c r="P88" s="467">
        <f t="shared" si="27"/>
        <v>222012.28</v>
      </c>
      <c r="Q88" s="467"/>
      <c r="R88" s="491"/>
      <c r="S88" s="467"/>
      <c r="T88" s="467"/>
      <c r="U88" s="491"/>
      <c r="V88" s="467">
        <f t="shared" si="28"/>
        <v>222012.28</v>
      </c>
      <c r="X88" s="489">
        <f t="shared" si="29"/>
        <v>0</v>
      </c>
      <c r="Y88" s="489"/>
      <c r="AA88" s="510"/>
      <c r="AB88" s="510"/>
    </row>
    <row r="89" spans="1:28" ht="15">
      <c r="A89" s="499">
        <v>490704</v>
      </c>
      <c r="B89" s="499" t="s">
        <v>160</v>
      </c>
      <c r="C89" s="499" t="s">
        <v>1863</v>
      </c>
      <c r="G89" s="509"/>
      <c r="H89" s="461">
        <v>58551</v>
      </c>
      <c r="I89" s="491"/>
      <c r="J89" s="467">
        <f t="shared" si="26"/>
        <v>58551</v>
      </c>
      <c r="K89" s="467"/>
      <c r="L89" s="491"/>
      <c r="M89" s="491"/>
      <c r="N89" s="491"/>
      <c r="O89" s="491"/>
      <c r="P89" s="467">
        <f t="shared" si="27"/>
        <v>58551</v>
      </c>
      <c r="Q89" s="467"/>
      <c r="R89" s="491"/>
      <c r="S89" s="467"/>
      <c r="T89" s="467"/>
      <c r="U89" s="491"/>
      <c r="V89" s="467">
        <f t="shared" si="28"/>
        <v>58551</v>
      </c>
      <c r="X89" s="489">
        <f t="shared" si="29"/>
        <v>0</v>
      </c>
      <c r="Y89" s="489"/>
      <c r="AA89" s="510"/>
      <c r="AB89" s="510"/>
    </row>
    <row r="90" spans="1:28" ht="15">
      <c r="A90" s="499">
        <v>490705</v>
      </c>
      <c r="B90" s="499" t="s">
        <v>160</v>
      </c>
      <c r="C90" s="499" t="s">
        <v>1864</v>
      </c>
      <c r="G90" s="509"/>
      <c r="H90" s="461">
        <v>57482.05</v>
      </c>
      <c r="I90" s="491"/>
      <c r="J90" s="467">
        <f t="shared" si="26"/>
        <v>57482.05</v>
      </c>
      <c r="K90" s="467"/>
      <c r="L90" s="491"/>
      <c r="M90" s="491"/>
      <c r="N90" s="491"/>
      <c r="O90" s="491"/>
      <c r="P90" s="467">
        <f t="shared" si="27"/>
        <v>57482.05</v>
      </c>
      <c r="Q90" s="467"/>
      <c r="R90" s="491"/>
      <c r="S90" s="467"/>
      <c r="T90" s="467"/>
      <c r="U90" s="491"/>
      <c r="V90" s="467">
        <f t="shared" si="28"/>
        <v>57482.05</v>
      </c>
      <c r="X90" s="489">
        <f t="shared" si="29"/>
        <v>0</v>
      </c>
      <c r="Y90" s="489"/>
      <c r="AA90" s="510"/>
      <c r="AB90" s="510"/>
    </row>
    <row r="91" spans="1:28" ht="15">
      <c r="A91" s="499">
        <v>490706</v>
      </c>
      <c r="B91" s="499" t="s">
        <v>160</v>
      </c>
      <c r="C91" s="499" t="s">
        <v>1934</v>
      </c>
      <c r="G91" s="509"/>
      <c r="H91" s="461">
        <v>108.61</v>
      </c>
      <c r="I91" s="491"/>
      <c r="J91" s="467">
        <f t="shared" si="26"/>
        <v>108.61</v>
      </c>
      <c r="K91" s="467"/>
      <c r="L91" s="491"/>
      <c r="M91" s="491"/>
      <c r="N91" s="491"/>
      <c r="O91" s="491"/>
      <c r="P91" s="467">
        <f t="shared" si="27"/>
        <v>108.61</v>
      </c>
      <c r="Q91" s="467"/>
      <c r="R91" s="491"/>
      <c r="S91" s="467"/>
      <c r="T91" s="467"/>
      <c r="U91" s="491"/>
      <c r="V91" s="467">
        <f t="shared" si="28"/>
        <v>108.61</v>
      </c>
      <c r="X91" s="489"/>
      <c r="Y91" s="489"/>
      <c r="AA91" s="510"/>
      <c r="AB91" s="510"/>
    </row>
    <row r="92" spans="1:28" ht="15">
      <c r="A92" s="499">
        <v>490707</v>
      </c>
      <c r="B92" s="499" t="s">
        <v>160</v>
      </c>
      <c r="C92" s="499" t="s">
        <v>1865</v>
      </c>
      <c r="G92" s="509"/>
      <c r="H92" s="461">
        <v>73684.960000000006</v>
      </c>
      <c r="I92" s="491"/>
      <c r="J92" s="467">
        <f t="shared" si="26"/>
        <v>73684.960000000006</v>
      </c>
      <c r="K92" s="467"/>
      <c r="L92" s="491"/>
      <c r="M92" s="491"/>
      <c r="N92" s="491"/>
      <c r="O92" s="491"/>
      <c r="P92" s="467">
        <f t="shared" si="27"/>
        <v>73684.960000000006</v>
      </c>
      <c r="Q92" s="467"/>
      <c r="R92" s="491"/>
      <c r="S92" s="467"/>
      <c r="T92" s="467"/>
      <c r="U92" s="491"/>
      <c r="V92" s="467">
        <f t="shared" si="28"/>
        <v>73684.960000000006</v>
      </c>
      <c r="X92" s="489">
        <f t="shared" si="29"/>
        <v>0</v>
      </c>
      <c r="Y92" s="489"/>
      <c r="AA92" s="510"/>
      <c r="AB92" s="510"/>
    </row>
    <row r="93" spans="1:28" ht="15">
      <c r="A93" s="499">
        <v>490822</v>
      </c>
      <c r="B93" s="499" t="s">
        <v>160</v>
      </c>
      <c r="C93" s="499" t="s">
        <v>1815</v>
      </c>
      <c r="G93" s="509"/>
      <c r="H93" s="461">
        <v>12995.89</v>
      </c>
      <c r="I93" s="491"/>
      <c r="J93" s="467">
        <f t="shared" si="26"/>
        <v>12995.89</v>
      </c>
      <c r="K93" s="467"/>
      <c r="L93" s="491"/>
      <c r="M93" s="491"/>
      <c r="N93" s="491"/>
      <c r="O93" s="491"/>
      <c r="P93" s="467">
        <f t="shared" si="27"/>
        <v>12995.89</v>
      </c>
      <c r="Q93" s="467"/>
      <c r="R93" s="491"/>
      <c r="S93" s="467"/>
      <c r="T93" s="467"/>
      <c r="U93" s="491"/>
      <c r="V93" s="467">
        <f t="shared" si="28"/>
        <v>12995.89</v>
      </c>
      <c r="X93" s="489">
        <f t="shared" si="29"/>
        <v>0</v>
      </c>
      <c r="Y93" s="489"/>
      <c r="AA93" s="510"/>
      <c r="AB93" s="510"/>
    </row>
    <row r="94" spans="1:28" ht="15">
      <c r="A94" s="499">
        <v>490914</v>
      </c>
      <c r="B94" s="499" t="s">
        <v>160</v>
      </c>
      <c r="C94" s="499" t="s">
        <v>1866</v>
      </c>
      <c r="G94" s="509"/>
      <c r="H94" s="461">
        <v>35973.910000000003</v>
      </c>
      <c r="I94" s="491"/>
      <c r="J94" s="467">
        <f t="shared" si="26"/>
        <v>35973.910000000003</v>
      </c>
      <c r="K94" s="467"/>
      <c r="L94" s="491"/>
      <c r="M94" s="491"/>
      <c r="N94" s="491"/>
      <c r="O94" s="491"/>
      <c r="P94" s="467">
        <f t="shared" si="27"/>
        <v>35973.910000000003</v>
      </c>
      <c r="Q94" s="467"/>
      <c r="R94" s="491"/>
      <c r="S94" s="467"/>
      <c r="T94" s="467"/>
      <c r="U94" s="491"/>
      <c r="V94" s="467">
        <f t="shared" si="28"/>
        <v>35973.910000000003</v>
      </c>
      <c r="X94" s="489">
        <f t="shared" si="29"/>
        <v>0</v>
      </c>
      <c r="Y94" s="489"/>
      <c r="AA94" s="510"/>
      <c r="AB94" s="510"/>
    </row>
    <row r="95" spans="1:28" ht="15">
      <c r="A95" s="499">
        <v>490915</v>
      </c>
      <c r="B95" s="499" t="s">
        <v>160</v>
      </c>
      <c r="C95" s="499" t="s">
        <v>1867</v>
      </c>
      <c r="G95" s="509"/>
      <c r="H95" s="461">
        <v>38674.769999999997</v>
      </c>
      <c r="I95" s="491"/>
      <c r="J95" s="467">
        <f t="shared" si="26"/>
        <v>38674.769999999997</v>
      </c>
      <c r="K95" s="467"/>
      <c r="L95" s="491"/>
      <c r="M95" s="491"/>
      <c r="N95" s="491"/>
      <c r="O95" s="491"/>
      <c r="P95" s="467">
        <f t="shared" si="27"/>
        <v>38674.769999999997</v>
      </c>
      <c r="Q95" s="467"/>
      <c r="R95" s="491"/>
      <c r="S95" s="467"/>
      <c r="T95" s="467"/>
      <c r="U95" s="491"/>
      <c r="V95" s="467">
        <f t="shared" si="28"/>
        <v>38674.769999999997</v>
      </c>
      <c r="X95" s="489">
        <f t="shared" si="29"/>
        <v>0</v>
      </c>
      <c r="Y95" s="489"/>
      <c r="AA95" s="510"/>
      <c r="AB95" s="510"/>
    </row>
    <row r="96" spans="1:28" ht="15">
      <c r="A96" s="499">
        <v>499999</v>
      </c>
      <c r="B96" s="499" t="s">
        <v>160</v>
      </c>
      <c r="C96" s="499" t="s">
        <v>1932</v>
      </c>
      <c r="G96" s="509"/>
      <c r="H96" s="488">
        <v>-27058.01</v>
      </c>
      <c r="I96" s="491"/>
      <c r="J96" s="467"/>
      <c r="K96" s="467"/>
      <c r="L96" s="491"/>
      <c r="M96" s="491"/>
      <c r="N96" s="491"/>
      <c r="O96" s="491"/>
      <c r="P96" s="467">
        <f t="shared" si="27"/>
        <v>-27058.01</v>
      </c>
      <c r="Q96" s="467"/>
      <c r="R96" s="491"/>
      <c r="S96" s="467"/>
      <c r="T96" s="467"/>
      <c r="U96" s="491"/>
      <c r="V96" s="467">
        <f t="shared" si="28"/>
        <v>-27058.01</v>
      </c>
      <c r="X96" s="489"/>
      <c r="Y96" s="489"/>
      <c r="AA96" s="510"/>
      <c r="AB96" s="510"/>
    </row>
    <row r="97" spans="1:28" ht="15">
      <c r="A97" s="499">
        <v>510201</v>
      </c>
      <c r="B97" s="499" t="s">
        <v>160</v>
      </c>
      <c r="C97" s="499" t="s">
        <v>1818</v>
      </c>
      <c r="G97" s="509"/>
      <c r="H97" s="461">
        <v>256604.75</v>
      </c>
      <c r="I97" s="491"/>
      <c r="J97" s="467"/>
      <c r="K97" s="467"/>
      <c r="L97" s="491"/>
      <c r="M97" s="491"/>
      <c r="N97" s="491"/>
      <c r="O97" s="491"/>
      <c r="P97" s="467">
        <f t="shared" si="27"/>
        <v>256604.75</v>
      </c>
      <c r="Q97" s="467"/>
      <c r="R97" s="491"/>
      <c r="S97" s="467"/>
      <c r="T97" s="467"/>
      <c r="U97" s="491"/>
      <c r="V97" s="467">
        <f t="shared" si="28"/>
        <v>256604.75</v>
      </c>
      <c r="X97" s="489">
        <f t="shared" si="29"/>
        <v>0</v>
      </c>
      <c r="Y97" s="489"/>
      <c r="AA97" s="510"/>
      <c r="AB97" s="510"/>
    </row>
    <row r="98" spans="1:28" ht="15">
      <c r="A98" s="499">
        <v>510202</v>
      </c>
      <c r="B98" s="499" t="s">
        <v>160</v>
      </c>
      <c r="C98" s="499" t="s">
        <v>1819</v>
      </c>
      <c r="G98" s="509"/>
      <c r="H98" s="461">
        <v>106175.2</v>
      </c>
      <c r="I98" s="491"/>
      <c r="J98" s="467"/>
      <c r="K98" s="467"/>
      <c r="L98" s="491"/>
      <c r="M98" s="491"/>
      <c r="N98" s="491"/>
      <c r="O98" s="491"/>
      <c r="P98" s="467">
        <f t="shared" si="27"/>
        <v>106175.2</v>
      </c>
      <c r="Q98" s="467"/>
      <c r="R98" s="491"/>
      <c r="S98" s="467"/>
      <c r="T98" s="467"/>
      <c r="U98" s="491"/>
      <c r="V98" s="467">
        <f t="shared" si="28"/>
        <v>106175.2</v>
      </c>
      <c r="X98" s="489">
        <f t="shared" si="29"/>
        <v>0</v>
      </c>
      <c r="Y98" s="489"/>
      <c r="AA98" s="510"/>
      <c r="AB98" s="510"/>
    </row>
    <row r="99" spans="1:28" ht="15">
      <c r="A99" s="499">
        <v>510206</v>
      </c>
      <c r="B99" s="499" t="s">
        <v>160</v>
      </c>
      <c r="C99" s="499" t="s">
        <v>1820</v>
      </c>
      <c r="G99" s="509"/>
      <c r="H99" s="461">
        <v>10391.709999999999</v>
      </c>
      <c r="I99" s="491"/>
      <c r="J99" s="467"/>
      <c r="K99" s="467"/>
      <c r="L99" s="491"/>
      <c r="M99" s="491"/>
      <c r="N99" s="491"/>
      <c r="O99" s="491"/>
      <c r="P99" s="467">
        <f t="shared" si="27"/>
        <v>10391.709999999999</v>
      </c>
      <c r="Q99" s="467"/>
      <c r="R99" s="491"/>
      <c r="S99" s="467"/>
      <c r="T99" s="467"/>
      <c r="U99" s="491"/>
      <c r="V99" s="467">
        <f t="shared" si="28"/>
        <v>10391.709999999999</v>
      </c>
      <c r="X99" s="489">
        <f t="shared" si="29"/>
        <v>0</v>
      </c>
      <c r="Y99" s="489"/>
      <c r="AA99" s="510"/>
      <c r="AB99" s="510"/>
    </row>
    <row r="100" spans="1:28" ht="15">
      <c r="A100" s="499">
        <v>510207</v>
      </c>
      <c r="B100" s="499" t="s">
        <v>160</v>
      </c>
      <c r="C100" s="499" t="s">
        <v>1821</v>
      </c>
      <c r="G100" s="509"/>
      <c r="H100" s="461">
        <v>333.75</v>
      </c>
      <c r="I100" s="491"/>
      <c r="J100" s="467"/>
      <c r="K100" s="467"/>
      <c r="L100" s="491"/>
      <c r="M100" s="491"/>
      <c r="N100" s="491"/>
      <c r="O100" s="491"/>
      <c r="P100" s="467">
        <f t="shared" si="27"/>
        <v>333.75</v>
      </c>
      <c r="Q100" s="467"/>
      <c r="R100" s="491"/>
      <c r="S100" s="467"/>
      <c r="T100" s="467"/>
      <c r="U100" s="491"/>
      <c r="V100" s="467">
        <f t="shared" si="28"/>
        <v>333.75</v>
      </c>
      <c r="X100" s="489">
        <f t="shared" si="29"/>
        <v>0</v>
      </c>
      <c r="Y100" s="489"/>
      <c r="AA100" s="510"/>
      <c r="AB100" s="510"/>
    </row>
    <row r="101" spans="1:28" ht="15">
      <c r="A101" s="499">
        <v>510208</v>
      </c>
      <c r="B101" s="499" t="s">
        <v>160</v>
      </c>
      <c r="C101" s="499" t="s">
        <v>1935</v>
      </c>
      <c r="G101" s="509"/>
      <c r="H101" s="461">
        <v>6.73</v>
      </c>
      <c r="I101" s="491"/>
      <c r="J101" s="467"/>
      <c r="K101" s="467"/>
      <c r="L101" s="491"/>
      <c r="M101" s="491"/>
      <c r="N101" s="491"/>
      <c r="O101" s="491"/>
      <c r="P101" s="467">
        <f t="shared" si="27"/>
        <v>6.73</v>
      </c>
      <c r="Q101" s="467"/>
      <c r="R101" s="491"/>
      <c r="S101" s="467"/>
      <c r="T101" s="467"/>
      <c r="U101" s="491"/>
      <c r="V101" s="467">
        <f t="shared" si="28"/>
        <v>6.73</v>
      </c>
      <c r="X101" s="489"/>
      <c r="Y101" s="489"/>
      <c r="AA101" s="510"/>
      <c r="AB101" s="510"/>
    </row>
    <row r="102" spans="1:28" ht="15">
      <c r="A102" s="499">
        <v>520204</v>
      </c>
      <c r="B102" s="499" t="s">
        <v>148</v>
      </c>
      <c r="C102" s="499" t="s">
        <v>1823</v>
      </c>
      <c r="G102" s="509"/>
      <c r="H102" s="461">
        <v>12022.62</v>
      </c>
      <c r="I102" s="491"/>
      <c r="J102" s="467"/>
      <c r="K102" s="467"/>
      <c r="L102" s="491"/>
      <c r="M102" s="491"/>
      <c r="N102" s="491"/>
      <c r="O102" s="491"/>
      <c r="P102" s="467">
        <f t="shared" si="27"/>
        <v>12022.62</v>
      </c>
      <c r="Q102" s="467"/>
      <c r="R102" s="491"/>
      <c r="S102" s="467"/>
      <c r="T102" s="467"/>
      <c r="U102" s="491"/>
      <c r="V102" s="467">
        <f t="shared" si="28"/>
        <v>12022.62</v>
      </c>
      <c r="X102" s="489">
        <f t="shared" si="29"/>
        <v>0</v>
      </c>
      <c r="Y102" s="489"/>
      <c r="AA102" s="510"/>
      <c r="AB102" s="510"/>
    </row>
    <row r="103" spans="1:28" ht="15">
      <c r="A103" s="499">
        <v>520400</v>
      </c>
      <c r="B103" s="499" t="s">
        <v>148</v>
      </c>
      <c r="C103" s="499" t="s">
        <v>1824</v>
      </c>
      <c r="G103" s="509"/>
      <c r="H103" s="461">
        <v>1686.63</v>
      </c>
      <c r="I103" s="491"/>
      <c r="J103" s="467"/>
      <c r="K103" s="467"/>
      <c r="L103" s="491"/>
      <c r="M103" s="491"/>
      <c r="N103" s="491"/>
      <c r="O103" s="491"/>
      <c r="P103" s="467">
        <f t="shared" si="27"/>
        <v>1686.63</v>
      </c>
      <c r="Q103" s="467"/>
      <c r="R103" s="491"/>
      <c r="S103" s="467"/>
      <c r="T103" s="467"/>
      <c r="U103" s="491"/>
      <c r="V103" s="467">
        <f t="shared" si="28"/>
        <v>1686.63</v>
      </c>
      <c r="X103" s="489">
        <f t="shared" si="29"/>
        <v>0</v>
      </c>
      <c r="Y103" s="489"/>
      <c r="AA103" s="510"/>
      <c r="AB103" s="510"/>
    </row>
    <row r="104" spans="1:28" ht="15">
      <c r="A104" s="499">
        <v>520500</v>
      </c>
      <c r="B104" s="499" t="s">
        <v>148</v>
      </c>
      <c r="C104" s="499" t="s">
        <v>1825</v>
      </c>
      <c r="G104" s="509"/>
      <c r="H104" s="461">
        <v>12903.1</v>
      </c>
      <c r="I104" s="491"/>
      <c r="J104" s="467"/>
      <c r="K104" s="467"/>
      <c r="L104" s="491"/>
      <c r="M104" s="491"/>
      <c r="N104" s="491"/>
      <c r="O104" s="491"/>
      <c r="P104" s="467">
        <f t="shared" si="27"/>
        <v>12903.1</v>
      </c>
      <c r="Q104" s="467"/>
      <c r="R104" s="491"/>
      <c r="S104" s="467"/>
      <c r="T104" s="467"/>
      <c r="U104" s="491"/>
      <c r="V104" s="467">
        <f t="shared" si="28"/>
        <v>12903.1</v>
      </c>
      <c r="X104" s="489">
        <f t="shared" si="29"/>
        <v>0</v>
      </c>
      <c r="Y104" s="489"/>
      <c r="AA104" s="510"/>
      <c r="AB104" s="510"/>
    </row>
    <row r="105" spans="1:28" ht="15">
      <c r="A105" s="499">
        <v>520501</v>
      </c>
      <c r="B105" s="499" t="s">
        <v>148</v>
      </c>
      <c r="C105" s="499" t="s">
        <v>1868</v>
      </c>
      <c r="G105" s="509"/>
      <c r="H105" s="461">
        <v>531.21</v>
      </c>
      <c r="I105" s="491"/>
      <c r="J105" s="467"/>
      <c r="K105" s="467"/>
      <c r="L105" s="491"/>
      <c r="M105" s="491"/>
      <c r="N105" s="491"/>
      <c r="O105" s="491"/>
      <c r="P105" s="467">
        <f t="shared" si="27"/>
        <v>531.21</v>
      </c>
      <c r="Q105" s="467"/>
      <c r="R105" s="491"/>
      <c r="S105" s="467"/>
      <c r="T105" s="467"/>
      <c r="U105" s="491"/>
      <c r="V105" s="467">
        <f t="shared" si="28"/>
        <v>531.21</v>
      </c>
      <c r="X105" s="489">
        <f t="shared" si="29"/>
        <v>0</v>
      </c>
      <c r="Y105" s="489"/>
      <c r="AA105" s="510"/>
      <c r="AB105" s="510"/>
    </row>
    <row r="106" spans="1:28" ht="15">
      <c r="A106" s="499">
        <v>520503</v>
      </c>
      <c r="B106" s="499" t="s">
        <v>148</v>
      </c>
      <c r="C106" s="499" t="s">
        <v>1869</v>
      </c>
      <c r="G106" s="509"/>
      <c r="H106" s="461">
        <v>1358.85</v>
      </c>
      <c r="I106" s="491"/>
      <c r="J106" s="467"/>
      <c r="K106" s="467"/>
      <c r="L106" s="491"/>
      <c r="M106" s="491"/>
      <c r="N106" s="491"/>
      <c r="O106" s="491"/>
      <c r="P106" s="467">
        <f t="shared" si="27"/>
        <v>1358.85</v>
      </c>
      <c r="Q106" s="467"/>
      <c r="R106" s="491"/>
      <c r="S106" s="467"/>
      <c r="T106" s="467"/>
      <c r="U106" s="491"/>
      <c r="V106" s="467">
        <f t="shared" si="28"/>
        <v>1358.85</v>
      </c>
      <c r="X106" s="489">
        <f t="shared" si="29"/>
        <v>0</v>
      </c>
      <c r="Y106" s="489"/>
      <c r="AA106" s="510"/>
      <c r="AB106" s="510"/>
    </row>
    <row r="107" spans="1:28" ht="15">
      <c r="A107" s="499">
        <v>520505</v>
      </c>
      <c r="B107" s="499" t="s">
        <v>148</v>
      </c>
      <c r="C107" s="499" t="s">
        <v>1870</v>
      </c>
      <c r="G107" s="509"/>
      <c r="H107" s="461">
        <v>33339.06</v>
      </c>
      <c r="I107" s="491"/>
      <c r="J107" s="467"/>
      <c r="K107" s="467"/>
      <c r="L107" s="491"/>
      <c r="M107" s="491"/>
      <c r="N107" s="491"/>
      <c r="O107" s="491"/>
      <c r="P107" s="467">
        <f t="shared" si="27"/>
        <v>33339.06</v>
      </c>
      <c r="Q107" s="467"/>
      <c r="R107" s="491"/>
      <c r="S107" s="467"/>
      <c r="T107" s="467"/>
      <c r="U107" s="491"/>
      <c r="V107" s="467">
        <f t="shared" si="28"/>
        <v>33339.06</v>
      </c>
      <c r="X107" s="489">
        <f t="shared" si="29"/>
        <v>0</v>
      </c>
      <c r="Y107" s="489"/>
      <c r="AA107" s="510"/>
      <c r="AB107" s="510"/>
    </row>
    <row r="108" spans="1:28" ht="15">
      <c r="A108" s="499">
        <v>520514</v>
      </c>
      <c r="B108" s="499" t="s">
        <v>148</v>
      </c>
      <c r="C108" s="499" t="s">
        <v>1827</v>
      </c>
      <c r="G108" s="509"/>
      <c r="H108" s="461">
        <v>3622.62</v>
      </c>
      <c r="I108" s="491"/>
      <c r="J108" s="467"/>
      <c r="K108" s="467"/>
      <c r="L108" s="491"/>
      <c r="M108" s="491"/>
      <c r="N108" s="491"/>
      <c r="O108" s="491"/>
      <c r="P108" s="467">
        <f t="shared" si="27"/>
        <v>3622.62</v>
      </c>
      <c r="Q108" s="467"/>
      <c r="R108" s="491"/>
      <c r="S108" s="467"/>
      <c r="T108" s="467"/>
      <c r="U108" s="491"/>
      <c r="V108" s="467">
        <f t="shared" si="28"/>
        <v>3622.62</v>
      </c>
      <c r="X108" s="489">
        <f t="shared" si="29"/>
        <v>0</v>
      </c>
      <c r="Y108" s="489"/>
      <c r="AA108" s="510"/>
      <c r="AB108" s="510"/>
    </row>
    <row r="109" spans="1:28" ht="15">
      <c r="A109" s="499">
        <v>531215</v>
      </c>
      <c r="B109" s="499" t="s">
        <v>148</v>
      </c>
      <c r="C109" s="499" t="s">
        <v>1871</v>
      </c>
      <c r="G109" s="509"/>
      <c r="H109" s="461">
        <v>5659.13</v>
      </c>
      <c r="I109" s="491"/>
      <c r="J109" s="467"/>
      <c r="K109" s="467"/>
      <c r="L109" s="491"/>
      <c r="M109" s="491"/>
      <c r="N109" s="491"/>
      <c r="O109" s="491"/>
      <c r="P109" s="467">
        <f t="shared" si="27"/>
        <v>5659.13</v>
      </c>
      <c r="Q109" s="467"/>
      <c r="R109" s="491"/>
      <c r="S109" s="467"/>
      <c r="T109" s="467"/>
      <c r="U109" s="491"/>
      <c r="V109" s="467">
        <f t="shared" si="28"/>
        <v>5659.13</v>
      </c>
      <c r="X109" s="489">
        <f t="shared" si="29"/>
        <v>0</v>
      </c>
      <c r="Y109" s="489"/>
      <c r="AA109" s="510"/>
      <c r="AB109" s="510"/>
    </row>
    <row r="110" spans="1:28" ht="15">
      <c r="A110" s="499">
        <v>531301</v>
      </c>
      <c r="B110" s="499" t="s">
        <v>148</v>
      </c>
      <c r="C110" s="499" t="s">
        <v>1829</v>
      </c>
      <c r="G110" s="509"/>
      <c r="H110" s="461">
        <v>2413.83</v>
      </c>
      <c r="I110" s="491"/>
      <c r="J110" s="467"/>
      <c r="K110" s="467"/>
      <c r="L110" s="491"/>
      <c r="M110" s="491"/>
      <c r="N110" s="491"/>
      <c r="O110" s="491"/>
      <c r="P110" s="467">
        <f t="shared" si="27"/>
        <v>2413.83</v>
      </c>
      <c r="Q110" s="467"/>
      <c r="R110" s="491"/>
      <c r="S110" s="467"/>
      <c r="T110" s="467"/>
      <c r="U110" s="491"/>
      <c r="V110" s="467">
        <f t="shared" si="28"/>
        <v>2413.83</v>
      </c>
      <c r="X110" s="489">
        <f t="shared" si="29"/>
        <v>0</v>
      </c>
      <c r="Y110" s="489"/>
      <c r="AA110" s="510"/>
      <c r="AB110" s="510"/>
    </row>
    <row r="111" spans="1:28" ht="15">
      <c r="A111" s="499">
        <v>531304</v>
      </c>
      <c r="B111" s="499" t="s">
        <v>148</v>
      </c>
      <c r="C111" s="499" t="s">
        <v>1830</v>
      </c>
      <c r="G111" s="509"/>
      <c r="H111" s="461">
        <v>437.74</v>
      </c>
      <c r="I111" s="491"/>
      <c r="J111" s="467"/>
      <c r="K111" s="467"/>
      <c r="L111" s="491"/>
      <c r="M111" s="491"/>
      <c r="N111" s="491"/>
      <c r="O111" s="491"/>
      <c r="P111" s="467">
        <f t="shared" si="27"/>
        <v>437.74</v>
      </c>
      <c r="Q111" s="467"/>
      <c r="R111" s="491"/>
      <c r="S111" s="467"/>
      <c r="T111" s="467"/>
      <c r="U111" s="491"/>
      <c r="V111" s="467">
        <f t="shared" si="28"/>
        <v>437.74</v>
      </c>
      <c r="X111" s="489">
        <f t="shared" si="29"/>
        <v>0</v>
      </c>
      <c r="Y111" s="489"/>
      <c r="AA111" s="510"/>
      <c r="AB111" s="510"/>
    </row>
    <row r="112" spans="1:28" ht="15">
      <c r="A112" s="499">
        <v>531410</v>
      </c>
      <c r="B112" s="499" t="s">
        <v>148</v>
      </c>
      <c r="C112" s="499" t="s">
        <v>1831</v>
      </c>
      <c r="G112" s="509"/>
      <c r="H112" s="461">
        <v>2407.3000000000002</v>
      </c>
      <c r="I112" s="491"/>
      <c r="J112" s="467"/>
      <c r="K112" s="467"/>
      <c r="L112" s="491"/>
      <c r="M112" s="491"/>
      <c r="N112" s="491"/>
      <c r="O112" s="491"/>
      <c r="P112" s="467">
        <f t="shared" si="27"/>
        <v>2407.3000000000002</v>
      </c>
      <c r="Q112" s="467"/>
      <c r="R112" s="491"/>
      <c r="S112" s="467"/>
      <c r="T112" s="467"/>
      <c r="U112" s="491"/>
      <c r="V112" s="467">
        <f t="shared" si="28"/>
        <v>2407.3000000000002</v>
      </c>
      <c r="X112" s="489">
        <f t="shared" si="29"/>
        <v>0</v>
      </c>
      <c r="Y112" s="489"/>
      <c r="AA112" s="510"/>
      <c r="AB112" s="510"/>
    </row>
    <row r="113" spans="1:28" ht="15">
      <c r="A113" s="499">
        <v>531500</v>
      </c>
      <c r="B113" s="499" t="s">
        <v>148</v>
      </c>
      <c r="C113" s="499" t="s">
        <v>1832</v>
      </c>
      <c r="G113" s="509"/>
      <c r="H113" s="461">
        <v>100.04</v>
      </c>
      <c r="I113" s="491"/>
      <c r="J113" s="467"/>
      <c r="K113" s="467"/>
      <c r="L113" s="491"/>
      <c r="M113" s="491"/>
      <c r="N113" s="491"/>
      <c r="O113" s="491"/>
      <c r="P113" s="467">
        <f t="shared" si="27"/>
        <v>100.04</v>
      </c>
      <c r="Q113" s="467"/>
      <c r="R113" s="491"/>
      <c r="S113" s="467"/>
      <c r="T113" s="467"/>
      <c r="U113" s="491"/>
      <c r="V113" s="467">
        <f t="shared" si="28"/>
        <v>100.04</v>
      </c>
      <c r="X113" s="489">
        <f t="shared" si="29"/>
        <v>0</v>
      </c>
      <c r="Y113" s="489"/>
      <c r="AA113" s="510"/>
      <c r="AB113" s="510"/>
    </row>
    <row r="114" spans="1:28" ht="15">
      <c r="A114" s="499">
        <v>531701</v>
      </c>
      <c r="B114" s="499" t="s">
        <v>148</v>
      </c>
      <c r="C114" s="499" t="s">
        <v>1779</v>
      </c>
      <c r="G114" s="509"/>
      <c r="H114" s="461">
        <v>7050.72</v>
      </c>
      <c r="I114" s="491"/>
      <c r="J114" s="467"/>
      <c r="K114" s="467"/>
      <c r="L114" s="491"/>
      <c r="M114" s="491"/>
      <c r="N114" s="491"/>
      <c r="O114" s="491"/>
      <c r="P114" s="467">
        <f t="shared" si="27"/>
        <v>7050.72</v>
      </c>
      <c r="Q114" s="467"/>
      <c r="R114" s="491"/>
      <c r="S114" s="467"/>
      <c r="T114" s="467"/>
      <c r="U114" s="491"/>
      <c r="V114" s="467">
        <f t="shared" si="28"/>
        <v>7050.72</v>
      </c>
      <c r="X114" s="489">
        <f t="shared" si="29"/>
        <v>0</v>
      </c>
      <c r="Y114" s="489"/>
      <c r="AA114" s="510"/>
      <c r="AB114" s="510"/>
    </row>
    <row r="115" spans="1:28" ht="15">
      <c r="A115" s="499">
        <v>543002</v>
      </c>
      <c r="B115" s="499" t="s">
        <v>148</v>
      </c>
      <c r="C115" s="499" t="s">
        <v>1833</v>
      </c>
      <c r="G115" s="509"/>
      <c r="H115" s="461">
        <v>652.17999999999995</v>
      </c>
      <c r="I115" s="491"/>
      <c r="J115" s="467"/>
      <c r="K115" s="467"/>
      <c r="L115" s="491"/>
      <c r="M115" s="491"/>
      <c r="N115" s="491"/>
      <c r="O115" s="491"/>
      <c r="P115" s="467">
        <f t="shared" si="27"/>
        <v>652.17999999999995</v>
      </c>
      <c r="Q115" s="467"/>
      <c r="R115" s="491"/>
      <c r="S115" s="467"/>
      <c r="T115" s="467"/>
      <c r="U115" s="491"/>
      <c r="V115" s="467">
        <f t="shared" si="28"/>
        <v>652.17999999999995</v>
      </c>
      <c r="X115" s="489">
        <f t="shared" si="29"/>
        <v>0</v>
      </c>
      <c r="Y115" s="489"/>
      <c r="AA115" s="510"/>
      <c r="AB115" s="510"/>
    </row>
    <row r="116" spans="1:28" ht="15">
      <c r="A116" s="499">
        <v>543003</v>
      </c>
      <c r="B116" s="499" t="s">
        <v>148</v>
      </c>
      <c r="C116" s="499" t="s">
        <v>1834</v>
      </c>
      <c r="G116" s="509"/>
      <c r="H116" s="461">
        <v>4848.1400000000003</v>
      </c>
      <c r="I116" s="491"/>
      <c r="J116" s="467"/>
      <c r="K116" s="467"/>
      <c r="L116" s="491"/>
      <c r="M116" s="491"/>
      <c r="N116" s="491"/>
      <c r="O116" s="491"/>
      <c r="P116" s="467">
        <f t="shared" si="27"/>
        <v>4848.1400000000003</v>
      </c>
      <c r="Q116" s="467"/>
      <c r="R116" s="491"/>
      <c r="S116" s="467"/>
      <c r="T116" s="467"/>
      <c r="U116" s="491"/>
      <c r="V116" s="467">
        <f t="shared" si="28"/>
        <v>4848.1400000000003</v>
      </c>
      <c r="X116" s="489">
        <f t="shared" si="29"/>
        <v>0</v>
      </c>
      <c r="Y116" s="489"/>
      <c r="AA116" s="510"/>
      <c r="AB116" s="510"/>
    </row>
    <row r="117" spans="1:28" ht="15">
      <c r="A117" s="499">
        <v>554001</v>
      </c>
      <c r="B117" s="499" t="s">
        <v>148</v>
      </c>
      <c r="C117" s="499" t="s">
        <v>1872</v>
      </c>
      <c r="G117" s="509"/>
      <c r="H117" s="461">
        <v>25197158.440000001</v>
      </c>
      <c r="I117" s="491"/>
      <c r="J117" s="467"/>
      <c r="K117" s="467"/>
      <c r="L117" s="491"/>
      <c r="M117" s="491"/>
      <c r="N117" s="491"/>
      <c r="O117" s="491"/>
      <c r="P117" s="467"/>
      <c r="Q117" s="467"/>
      <c r="R117" s="491"/>
      <c r="S117" s="467"/>
      <c r="T117" s="467">
        <f>H117</f>
        <v>25197158.440000001</v>
      </c>
      <c r="U117" s="491"/>
      <c r="V117" s="467">
        <f t="shared" si="28"/>
        <v>25197158.440000001</v>
      </c>
      <c r="X117" s="489">
        <f t="shared" si="29"/>
        <v>0</v>
      </c>
      <c r="Y117" s="489"/>
      <c r="AA117" s="510"/>
      <c r="AB117" s="510"/>
    </row>
    <row r="118" spans="1:28" ht="15">
      <c r="A118" s="499">
        <v>554002</v>
      </c>
      <c r="B118" s="499" t="s">
        <v>148</v>
      </c>
      <c r="C118" s="499" t="s">
        <v>1873</v>
      </c>
      <c r="G118" s="509"/>
      <c r="H118" s="461">
        <v>5944565.6600000001</v>
      </c>
      <c r="I118" s="491"/>
      <c r="J118" s="467"/>
      <c r="K118" s="467"/>
      <c r="L118" s="491"/>
      <c r="M118" s="491"/>
      <c r="N118" s="491"/>
      <c r="O118" s="491"/>
      <c r="P118" s="467"/>
      <c r="Q118" s="467"/>
      <c r="R118" s="491"/>
      <c r="S118" s="467"/>
      <c r="T118" s="467">
        <f>H118</f>
        <v>5944565.6600000001</v>
      </c>
      <c r="U118" s="491"/>
      <c r="V118" s="467">
        <f t="shared" si="28"/>
        <v>5944565.6600000001</v>
      </c>
      <c r="X118" s="489">
        <f t="shared" si="29"/>
        <v>0</v>
      </c>
      <c r="Y118" s="489"/>
      <c r="AA118" s="510"/>
      <c r="AB118" s="510"/>
    </row>
    <row r="119" spans="1:28" ht="15">
      <c r="A119" s="499">
        <v>554006</v>
      </c>
      <c r="B119" s="499" t="s">
        <v>148</v>
      </c>
      <c r="C119" s="499" t="s">
        <v>1874</v>
      </c>
      <c r="G119" s="509"/>
      <c r="H119" s="461">
        <v>0</v>
      </c>
      <c r="I119" s="491"/>
      <c r="J119" s="467"/>
      <c r="K119" s="467"/>
      <c r="L119" s="491"/>
      <c r="M119" s="491"/>
      <c r="N119" s="491"/>
      <c r="O119" s="491"/>
      <c r="P119" s="467"/>
      <c r="Q119" s="467"/>
      <c r="R119" s="491"/>
      <c r="S119" s="467"/>
      <c r="T119" s="467">
        <f>H119</f>
        <v>0</v>
      </c>
      <c r="U119" s="491"/>
      <c r="V119" s="467">
        <f t="shared" si="28"/>
        <v>0</v>
      </c>
      <c r="X119" s="489">
        <f t="shared" si="29"/>
        <v>0</v>
      </c>
      <c r="Y119" s="489"/>
      <c r="AA119" s="510"/>
      <c r="AB119" s="510"/>
    </row>
    <row r="120" spans="1:28" ht="15">
      <c r="A120" s="499">
        <v>605101</v>
      </c>
      <c r="B120" s="499" t="s">
        <v>148</v>
      </c>
      <c r="C120" s="499" t="s">
        <v>1836</v>
      </c>
      <c r="G120" s="509"/>
      <c r="H120" s="461">
        <v>19947.669999999998</v>
      </c>
      <c r="I120" s="491"/>
      <c r="J120" s="467"/>
      <c r="K120" s="467"/>
      <c r="L120" s="491"/>
      <c r="M120" s="491"/>
      <c r="N120" s="491"/>
      <c r="O120" s="491"/>
      <c r="P120" s="467"/>
      <c r="Q120" s="467">
        <f>H120</f>
        <v>19947.669999999998</v>
      </c>
      <c r="R120" s="491"/>
      <c r="S120" s="467"/>
      <c r="T120" s="467"/>
      <c r="U120" s="491"/>
      <c r="V120" s="467">
        <f t="shared" si="28"/>
        <v>19947.669999999998</v>
      </c>
      <c r="X120" s="489">
        <f t="shared" si="29"/>
        <v>0</v>
      </c>
      <c r="Y120" s="489"/>
      <c r="AA120" s="510"/>
      <c r="AB120" s="510"/>
    </row>
    <row r="121" spans="1:28" ht="15">
      <c r="A121" s="499">
        <v>605102</v>
      </c>
      <c r="B121" s="499" t="s">
        <v>148</v>
      </c>
      <c r="C121" s="499" t="s">
        <v>1875</v>
      </c>
      <c r="G121" s="509"/>
      <c r="H121" s="461">
        <v>646415.78</v>
      </c>
      <c r="I121" s="491"/>
      <c r="J121" s="467"/>
      <c r="K121" s="467"/>
      <c r="L121" s="491"/>
      <c r="M121" s="491"/>
      <c r="N121" s="491"/>
      <c r="O121" s="491"/>
      <c r="P121" s="467"/>
      <c r="Q121" s="467">
        <f>H121</f>
        <v>646415.78</v>
      </c>
      <c r="R121" s="491"/>
      <c r="S121" s="467"/>
      <c r="T121" s="467"/>
      <c r="U121" s="491"/>
      <c r="V121" s="467">
        <f t="shared" si="28"/>
        <v>646415.78</v>
      </c>
      <c r="X121" s="489">
        <f t="shared" si="29"/>
        <v>0</v>
      </c>
      <c r="Y121" s="489"/>
      <c r="AA121" s="510"/>
      <c r="AB121" s="510"/>
    </row>
    <row r="122" spans="1:28" ht="15">
      <c r="A122" s="499">
        <v>605106</v>
      </c>
      <c r="B122" s="499" t="s">
        <v>148</v>
      </c>
      <c r="C122" s="499" t="s">
        <v>1837</v>
      </c>
      <c r="G122" s="509"/>
      <c r="H122" s="461">
        <v>2340.3000000000002</v>
      </c>
      <c r="I122" s="491"/>
      <c r="J122" s="467"/>
      <c r="K122" s="467"/>
      <c r="L122" s="491"/>
      <c r="M122" s="491"/>
      <c r="N122" s="491"/>
      <c r="O122" s="491"/>
      <c r="P122" s="467"/>
      <c r="Q122" s="467">
        <f>H122</f>
        <v>2340.3000000000002</v>
      </c>
      <c r="R122" s="491"/>
      <c r="S122" s="467"/>
      <c r="T122" s="467"/>
      <c r="U122" s="491"/>
      <c r="V122" s="467">
        <f t="shared" si="28"/>
        <v>2340.3000000000002</v>
      </c>
      <c r="X122" s="489">
        <f t="shared" si="29"/>
        <v>0</v>
      </c>
      <c r="Y122" s="489"/>
      <c r="AA122" s="510"/>
      <c r="AB122" s="510"/>
    </row>
    <row r="123" spans="1:28" ht="15">
      <c r="A123" s="499">
        <v>690000</v>
      </c>
      <c r="B123" s="499" t="s">
        <v>148</v>
      </c>
      <c r="C123" s="499" t="s">
        <v>1802</v>
      </c>
      <c r="G123" s="509"/>
      <c r="H123" s="461">
        <v>1319482.1100000001</v>
      </c>
      <c r="I123" s="491"/>
      <c r="J123" s="467"/>
      <c r="K123" s="467"/>
      <c r="L123" s="491"/>
      <c r="M123" s="491"/>
      <c r="N123" s="491"/>
      <c r="O123" s="491"/>
      <c r="P123" s="467"/>
      <c r="Q123" s="467"/>
      <c r="R123" s="491"/>
      <c r="S123" s="467">
        <f>H123</f>
        <v>1319482.1100000001</v>
      </c>
      <c r="T123" s="467"/>
      <c r="U123" s="491"/>
      <c r="V123" s="467">
        <f t="shared" si="28"/>
        <v>1319482.1100000001</v>
      </c>
      <c r="X123" s="489"/>
      <c r="Y123" s="489"/>
      <c r="AA123" s="510"/>
      <c r="AB123" s="510"/>
    </row>
    <row r="124" spans="1:28" ht="15">
      <c r="A124" s="499">
        <v>707600</v>
      </c>
      <c r="B124" s="499" t="s">
        <v>148</v>
      </c>
      <c r="C124" s="499" t="s">
        <v>1850</v>
      </c>
      <c r="G124" s="509"/>
      <c r="H124" s="461">
        <v>30824.79</v>
      </c>
      <c r="I124" s="491"/>
      <c r="J124" s="467"/>
      <c r="K124" s="467"/>
      <c r="L124" s="491"/>
      <c r="M124" s="491"/>
      <c r="N124" s="491"/>
      <c r="O124" s="491"/>
      <c r="P124" s="467">
        <f>H124</f>
        <v>30824.79</v>
      </c>
      <c r="Q124" s="467"/>
      <c r="R124" s="491"/>
      <c r="S124" s="467"/>
      <c r="T124" s="467"/>
      <c r="U124" s="491"/>
      <c r="V124" s="467">
        <f t="shared" si="28"/>
        <v>30824.79</v>
      </c>
      <c r="X124" s="489">
        <f t="shared" si="29"/>
        <v>0</v>
      </c>
      <c r="Y124" s="489"/>
      <c r="AA124" s="510"/>
      <c r="AB124" s="510"/>
    </row>
    <row r="125" spans="1:28" ht="15">
      <c r="A125" s="499">
        <v>707700</v>
      </c>
      <c r="B125" s="499" t="s">
        <v>148</v>
      </c>
      <c r="C125" s="499" t="s">
        <v>1851</v>
      </c>
      <c r="G125" s="509"/>
      <c r="H125" s="461">
        <v>5950</v>
      </c>
      <c r="I125" s="491"/>
      <c r="J125" s="467"/>
      <c r="K125" s="467"/>
      <c r="L125" s="491"/>
      <c r="M125" s="491"/>
      <c r="N125" s="491"/>
      <c r="O125" s="491"/>
      <c r="P125" s="467">
        <f>H125</f>
        <v>5950</v>
      </c>
      <c r="Q125" s="467"/>
      <c r="R125" s="491"/>
      <c r="S125" s="467"/>
      <c r="T125" s="467"/>
      <c r="U125" s="491"/>
      <c r="V125" s="467">
        <f t="shared" si="28"/>
        <v>5950</v>
      </c>
      <c r="X125" s="489">
        <f t="shared" si="29"/>
        <v>0</v>
      </c>
      <c r="Y125" s="489"/>
      <c r="AA125" s="510"/>
      <c r="AB125" s="510"/>
    </row>
    <row r="126" spans="1:28">
      <c r="G126" s="509"/>
      <c r="H126" s="461"/>
      <c r="I126" s="491"/>
      <c r="J126" s="467"/>
      <c r="K126" s="467"/>
      <c r="L126" s="491"/>
      <c r="M126" s="491"/>
      <c r="N126" s="491"/>
      <c r="O126" s="491"/>
      <c r="P126" s="467"/>
      <c r="Q126" s="467"/>
      <c r="R126" s="491"/>
      <c r="S126" s="467"/>
      <c r="T126" s="467"/>
      <c r="U126" s="491"/>
      <c r="V126" s="467"/>
      <c r="X126" s="489"/>
      <c r="Y126" s="489"/>
    </row>
    <row r="127" spans="1:28" s="469" customFormat="1">
      <c r="C127" s="469" t="s">
        <v>1876</v>
      </c>
      <c r="G127" s="511"/>
      <c r="H127" s="506">
        <f>SUM(H81:H126)</f>
        <v>34421043.170000009</v>
      </c>
      <c r="I127" s="507"/>
      <c r="J127" s="506">
        <f>SUM(J81:J126)</f>
        <v>818871.12000000011</v>
      </c>
      <c r="K127" s="507"/>
      <c r="L127" s="507"/>
      <c r="M127" s="507"/>
      <c r="N127" s="507"/>
      <c r="O127" s="507"/>
      <c r="P127" s="506">
        <f>SUM(P81:P126)</f>
        <v>1291133.2100000002</v>
      </c>
      <c r="Q127" s="506">
        <f>SUM(Q81:Q126)</f>
        <v>668703.75000000012</v>
      </c>
      <c r="R127" s="507"/>
      <c r="S127" s="506">
        <f>SUM(S81:S126)</f>
        <v>1319482.1100000001</v>
      </c>
      <c r="T127" s="506">
        <f>SUM(T81:T126)</f>
        <v>31141724.100000001</v>
      </c>
      <c r="U127" s="507"/>
      <c r="V127" s="506">
        <f>SUM(V81:V126)</f>
        <v>34421043.170000009</v>
      </c>
      <c r="X127" s="512">
        <f t="shared" ref="X127" si="30">V127-H127</f>
        <v>0</v>
      </c>
      <c r="Y127" s="512"/>
    </row>
    <row r="128" spans="1:28" s="469" customFormat="1">
      <c r="I128" s="484"/>
      <c r="L128" s="484"/>
      <c r="O128" s="484"/>
      <c r="R128" s="484"/>
      <c r="U128" s="484"/>
    </row>
    <row r="129" spans="1:21" s="469" customFormat="1">
      <c r="A129" s="469" t="s">
        <v>1877</v>
      </c>
      <c r="H129" s="512">
        <f>H127+H70</f>
        <v>41308047.250000007</v>
      </c>
      <c r="I129" s="484"/>
      <c r="J129" s="512">
        <f>J127+J70</f>
        <v>2432186.09241</v>
      </c>
      <c r="L129" s="484"/>
      <c r="M129" s="512"/>
      <c r="O129" s="484"/>
      <c r="P129" s="512"/>
      <c r="R129" s="484"/>
      <c r="U129" s="484"/>
    </row>
    <row r="130" spans="1:21" s="469" customFormat="1">
      <c r="H130" s="512"/>
      <c r="I130" s="484"/>
      <c r="J130" s="512"/>
      <c r="L130" s="484"/>
      <c r="M130" s="512"/>
      <c r="O130" s="484"/>
      <c r="P130" s="512"/>
      <c r="R130" s="484"/>
      <c r="U130" s="484"/>
    </row>
  </sheetData>
  <printOptions horizontalCentered="1"/>
  <pageMargins left="0.2" right="0.2" top="0.5" bottom="0.5" header="0.05" footer="0.25"/>
  <pageSetup scale="51" orientation="landscape" r:id="rId1"/>
  <headerFooter>
    <oddFooter>&amp;L&amp;10&amp;F&amp;R&amp;10&amp;A</oddFooter>
  </headerFooter>
  <rowBreaks count="1" manualBreakCount="1">
    <brk id="74" max="2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tabSelected="1" zoomScaleNormal="100" zoomScaleSheetLayoutView="100" workbookViewId="0">
      <selection activeCell="I22" sqref="I22"/>
    </sheetView>
  </sheetViews>
  <sheetFormatPr defaultColWidth="8.88671875" defaultRowHeight="12.75"/>
  <cols>
    <col min="1" max="1" width="3.88671875" style="456" bestFit="1" customWidth="1"/>
    <col min="2" max="2" width="28.6640625" style="456" customWidth="1"/>
    <col min="3" max="3" width="1.77734375" style="456" customWidth="1"/>
    <col min="4" max="4" width="11.77734375" style="456" customWidth="1"/>
    <col min="5" max="5" width="2.6640625" style="456" bestFit="1" customWidth="1"/>
    <col min="6" max="6" width="12.77734375" style="456" customWidth="1"/>
    <col min="7" max="7" width="12.33203125" style="456" customWidth="1"/>
    <col min="8" max="16384" width="8.88671875" style="456"/>
  </cols>
  <sheetData>
    <row r="1" spans="1:8">
      <c r="A1" s="370" t="s">
        <v>495</v>
      </c>
      <c r="B1" s="455"/>
      <c r="C1" s="455"/>
      <c r="D1" s="455"/>
      <c r="E1" s="455"/>
      <c r="F1" s="455"/>
      <c r="G1" s="455"/>
    </row>
    <row r="2" spans="1:8">
      <c r="A2" s="143" t="s">
        <v>1878</v>
      </c>
      <c r="B2" s="455"/>
      <c r="C2" s="455"/>
      <c r="D2" s="455"/>
      <c r="E2" s="455"/>
      <c r="F2" s="455"/>
      <c r="G2" s="455"/>
    </row>
    <row r="3" spans="1:8">
      <c r="A3" s="372" t="str">
        <f>'WP - O&amp;M Expenses'!A3</f>
        <v>Fiscal Year Ending April 30, 2016</v>
      </c>
      <c r="B3" s="455"/>
      <c r="C3" s="455"/>
      <c r="D3" s="455"/>
      <c r="E3" s="455"/>
      <c r="F3" s="455"/>
      <c r="G3" s="455"/>
    </row>
    <row r="4" spans="1:8">
      <c r="A4" s="372"/>
      <c r="B4" s="455"/>
      <c r="C4" s="455"/>
      <c r="D4" s="455"/>
      <c r="E4" s="455"/>
      <c r="F4" s="455"/>
      <c r="G4" s="455"/>
    </row>
    <row r="7" spans="1:8">
      <c r="D7" s="457" t="s">
        <v>1777</v>
      </c>
      <c r="E7" s="457"/>
      <c r="F7" s="457"/>
      <c r="G7" s="457"/>
    </row>
    <row r="8" spans="1:8">
      <c r="D8" s="458" t="s">
        <v>9</v>
      </c>
      <c r="E8" s="458"/>
      <c r="F8" s="458" t="s">
        <v>1778</v>
      </c>
    </row>
    <row r="9" spans="1:8">
      <c r="A9" s="458" t="s">
        <v>4</v>
      </c>
      <c r="D9" s="458" t="s">
        <v>1779</v>
      </c>
      <c r="E9" s="458"/>
      <c r="F9" s="458" t="s">
        <v>111</v>
      </c>
      <c r="G9" s="458" t="s">
        <v>1780</v>
      </c>
    </row>
    <row r="10" spans="1:8" ht="13.5" thickBot="1">
      <c r="A10" s="459" t="s">
        <v>6</v>
      </c>
      <c r="B10" s="459" t="s">
        <v>529</v>
      </c>
      <c r="D10" s="459" t="s">
        <v>1879</v>
      </c>
      <c r="E10" s="459"/>
      <c r="F10" s="459" t="s">
        <v>499</v>
      </c>
      <c r="G10" s="459" t="s">
        <v>1778</v>
      </c>
    </row>
    <row r="12" spans="1:8" ht="15.75">
      <c r="A12" s="460">
        <v>1</v>
      </c>
      <c r="B12" s="499" t="s">
        <v>1880</v>
      </c>
      <c r="C12" s="499"/>
      <c r="D12" s="488">
        <v>5133000</v>
      </c>
      <c r="E12" s="525" t="s">
        <v>1889</v>
      </c>
      <c r="F12" s="526">
        <f>'WP - Allocation Factors'!E12</f>
        <v>0.54560419672058547</v>
      </c>
      <c r="G12" s="527">
        <f>D12*F12</f>
        <v>2800586.3417667653</v>
      </c>
      <c r="H12" s="499"/>
    </row>
    <row r="13" spans="1:8" ht="15.75">
      <c r="A13" s="460"/>
      <c r="B13" s="499"/>
      <c r="C13" s="499"/>
      <c r="D13" s="501"/>
      <c r="E13" s="528"/>
      <c r="F13" s="499"/>
      <c r="G13" s="499"/>
      <c r="H13" s="499"/>
    </row>
    <row r="14" spans="1:8">
      <c r="B14" s="499"/>
      <c r="C14" s="499"/>
      <c r="D14" s="503"/>
      <c r="E14" s="499"/>
      <c r="F14" s="499"/>
      <c r="G14" s="499"/>
      <c r="H14" s="499"/>
    </row>
    <row r="15" spans="1:8">
      <c r="B15" s="499"/>
      <c r="C15" s="499"/>
      <c r="D15" s="549"/>
      <c r="E15" s="499"/>
      <c r="F15" s="499"/>
      <c r="G15" s="499"/>
      <c r="H15" s="499"/>
    </row>
    <row r="16" spans="1:8">
      <c r="B16" s="499"/>
      <c r="C16" s="499"/>
      <c r="D16" s="499"/>
      <c r="E16" s="499"/>
      <c r="F16" s="499"/>
      <c r="G16" s="499"/>
      <c r="H16" s="499"/>
    </row>
    <row r="17" spans="2:8">
      <c r="B17" s="499"/>
      <c r="C17" s="499"/>
      <c r="D17" s="499"/>
      <c r="E17" s="499"/>
      <c r="F17" s="499"/>
      <c r="G17" s="499"/>
      <c r="H17" s="499"/>
    </row>
    <row r="18" spans="2:8">
      <c r="B18" s="499"/>
      <c r="C18" s="499"/>
      <c r="D18" s="499"/>
      <c r="E18" s="499"/>
      <c r="F18" s="499"/>
      <c r="G18" s="499"/>
      <c r="H18" s="499"/>
    </row>
    <row r="19" spans="2:8">
      <c r="B19" s="499"/>
      <c r="C19" s="499"/>
      <c r="D19" s="499"/>
      <c r="E19" s="499"/>
      <c r="F19" s="499"/>
      <c r="G19" s="499"/>
      <c r="H19" s="499"/>
    </row>
    <row r="20" spans="2:8">
      <c r="B20" s="529" t="s">
        <v>1794</v>
      </c>
      <c r="C20" s="499"/>
      <c r="D20" s="499"/>
      <c r="E20" s="499"/>
      <c r="F20" s="499"/>
      <c r="G20" s="499"/>
      <c r="H20" s="499"/>
    </row>
    <row r="21" spans="2:8">
      <c r="B21" s="499" t="s">
        <v>1891</v>
      </c>
      <c r="C21" s="499"/>
      <c r="D21" s="499"/>
      <c r="E21" s="499"/>
      <c r="F21" s="499"/>
      <c r="G21" s="499"/>
      <c r="H21" s="499"/>
    </row>
    <row r="22" spans="2:8">
      <c r="B22" s="499" t="s">
        <v>1890</v>
      </c>
      <c r="C22" s="499"/>
      <c r="D22" s="499"/>
      <c r="E22" s="499"/>
      <c r="F22" s="499"/>
      <c r="G22" s="499"/>
      <c r="H22" s="499"/>
    </row>
    <row r="23" spans="2:8">
      <c r="B23" s="499"/>
      <c r="C23" s="499"/>
      <c r="D23" s="499"/>
      <c r="E23" s="499"/>
      <c r="F23" s="499"/>
      <c r="G23" s="499"/>
      <c r="H23" s="499"/>
    </row>
    <row r="24" spans="2:8">
      <c r="B24" s="499"/>
      <c r="C24" s="499"/>
      <c r="D24" s="499"/>
      <c r="E24" s="499"/>
      <c r="F24" s="499"/>
      <c r="G24" s="499"/>
      <c r="H24" s="499"/>
    </row>
  </sheetData>
  <printOptions horizontalCentered="1"/>
  <pageMargins left="0.7" right="0.7" top="0.75" bottom="0.75" header="0.3" footer="0.3"/>
  <pageSetup orientation="portrait" r:id="rId1"/>
  <headerFooter>
    <oddFooter>&amp;L&amp;9&amp;F&amp;R&amp;9&amp;A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zoomScaleNormal="100" workbookViewId="0">
      <selection activeCell="I22" sqref="I22"/>
    </sheetView>
  </sheetViews>
  <sheetFormatPr defaultColWidth="8.88671875" defaultRowHeight="12.75"/>
  <cols>
    <col min="1" max="1" width="24" style="371" bestFit="1" customWidth="1"/>
    <col min="2" max="2" width="9.88671875" style="371" bestFit="1" customWidth="1"/>
    <col min="3" max="16384" width="8.88671875" style="371"/>
  </cols>
  <sheetData>
    <row r="1" spans="1:14">
      <c r="A1" s="370" t="s">
        <v>495</v>
      </c>
      <c r="B1" s="143"/>
      <c r="C1" s="143"/>
      <c r="D1" s="143"/>
      <c r="E1" s="143"/>
      <c r="F1" s="143"/>
      <c r="G1" s="143"/>
      <c r="H1" s="143"/>
      <c r="I1" s="143"/>
      <c r="J1" s="143"/>
      <c r="K1" s="143"/>
      <c r="L1" s="143"/>
      <c r="M1" s="143"/>
      <c r="N1" s="143"/>
    </row>
    <row r="2" spans="1:14">
      <c r="A2" s="143" t="s">
        <v>1881</v>
      </c>
      <c r="B2" s="143"/>
      <c r="C2" s="143"/>
      <c r="D2" s="143"/>
      <c r="E2" s="143"/>
      <c r="F2" s="143"/>
      <c r="G2" s="143"/>
      <c r="H2" s="143"/>
      <c r="I2" s="143"/>
      <c r="J2" s="143"/>
      <c r="K2" s="143"/>
      <c r="L2" s="143"/>
      <c r="M2" s="143"/>
      <c r="N2" s="143"/>
    </row>
    <row r="3" spans="1:14">
      <c r="A3" s="372" t="str">
        <f>'WP - O&amp;M Expenses'!A3</f>
        <v>Fiscal Year Ending April 30, 2016</v>
      </c>
      <c r="B3" s="143"/>
      <c r="C3" s="143"/>
      <c r="D3" s="143"/>
      <c r="E3" s="143"/>
      <c r="F3" s="143"/>
      <c r="G3" s="143"/>
      <c r="H3" s="143"/>
      <c r="I3" s="143"/>
      <c r="J3" s="143"/>
      <c r="K3" s="143"/>
      <c r="L3" s="143"/>
      <c r="M3" s="143"/>
      <c r="N3" s="143"/>
    </row>
    <row r="6" spans="1:14" ht="13.5" thickBot="1">
      <c r="A6" s="513"/>
      <c r="B6" s="514">
        <v>42125</v>
      </c>
      <c r="C6" s="514">
        <v>42156</v>
      </c>
      <c r="D6" s="514">
        <v>42186</v>
      </c>
      <c r="E6" s="514">
        <v>42217</v>
      </c>
      <c r="F6" s="514">
        <v>42248</v>
      </c>
      <c r="G6" s="514">
        <v>42278</v>
      </c>
      <c r="H6" s="514">
        <v>42309</v>
      </c>
      <c r="I6" s="514">
        <v>42339</v>
      </c>
      <c r="J6" s="514">
        <v>42370</v>
      </c>
      <c r="K6" s="514">
        <v>42401</v>
      </c>
      <c r="L6" s="514">
        <v>42430</v>
      </c>
      <c r="M6" s="514">
        <v>42461</v>
      </c>
      <c r="N6" s="374" t="s">
        <v>9</v>
      </c>
    </row>
    <row r="8" spans="1:14" ht="15.75">
      <c r="A8" s="375" t="s">
        <v>1882</v>
      </c>
    </row>
    <row r="9" spans="1:14">
      <c r="A9" s="376" t="s">
        <v>467</v>
      </c>
      <c r="B9" s="380">
        <v>135974.78</v>
      </c>
      <c r="C9" s="380">
        <v>134291.85</v>
      </c>
      <c r="D9" s="380">
        <v>141692.54</v>
      </c>
      <c r="E9" s="380">
        <v>138759.12</v>
      </c>
      <c r="F9" s="380">
        <v>134091.73000000001</v>
      </c>
      <c r="G9" s="380">
        <v>138603.24</v>
      </c>
      <c r="H9" s="380">
        <v>138061.98000000001</v>
      </c>
      <c r="I9" s="380">
        <v>136006.73000000001</v>
      </c>
      <c r="J9" s="380">
        <v>151030.42000000001</v>
      </c>
      <c r="K9" s="380">
        <v>140666.68</v>
      </c>
      <c r="L9" s="380">
        <v>151712.04</v>
      </c>
      <c r="M9" s="380">
        <v>127430.83</v>
      </c>
      <c r="N9" s="377">
        <f>SUM(B9:M9)</f>
        <v>1668321.94</v>
      </c>
    </row>
    <row r="10" spans="1:14">
      <c r="A10" s="376" t="s">
        <v>1883</v>
      </c>
      <c r="B10" s="515">
        <v>7807.01</v>
      </c>
      <c r="C10" s="515">
        <v>3957.27</v>
      </c>
      <c r="D10" s="515">
        <v>3869.11</v>
      </c>
      <c r="E10" s="515">
        <v>2908.88</v>
      </c>
      <c r="F10" s="515">
        <v>6312.27</v>
      </c>
      <c r="G10" s="515">
        <v>2450.59</v>
      </c>
      <c r="H10" s="515">
        <v>4653.22</v>
      </c>
      <c r="I10" s="515">
        <v>2168.0500000000002</v>
      </c>
      <c r="J10" s="515">
        <v>5102.2700000000004</v>
      </c>
      <c r="K10" s="515">
        <v>2442.94</v>
      </c>
      <c r="L10" s="515">
        <v>3537.84</v>
      </c>
      <c r="M10" s="515">
        <v>4092.1200000000003</v>
      </c>
      <c r="N10" s="377">
        <f>SUM(B10:M10)</f>
        <v>49301.57</v>
      </c>
    </row>
    <row r="11" spans="1:14">
      <c r="A11" s="381" t="s">
        <v>1852</v>
      </c>
      <c r="B11" s="377">
        <f>SUM(B9:B10)</f>
        <v>143781.79</v>
      </c>
      <c r="C11" s="377">
        <f t="shared" ref="C11:N11" si="0">SUM(C9:C10)</f>
        <v>138249.12</v>
      </c>
      <c r="D11" s="377">
        <f t="shared" ref="D11:M11" si="1">SUM(D9:D10)</f>
        <v>145561.65</v>
      </c>
      <c r="E11" s="377">
        <f t="shared" si="1"/>
        <v>141668</v>
      </c>
      <c r="F11" s="377">
        <f t="shared" si="1"/>
        <v>140404</v>
      </c>
      <c r="G11" s="377">
        <f t="shared" si="1"/>
        <v>141053.82999999999</v>
      </c>
      <c r="H11" s="377">
        <f t="shared" si="1"/>
        <v>142715.20000000001</v>
      </c>
      <c r="I11" s="377">
        <f t="shared" si="1"/>
        <v>138174.78</v>
      </c>
      <c r="J11" s="377">
        <f t="shared" si="1"/>
        <v>156132.69</v>
      </c>
      <c r="K11" s="377">
        <f t="shared" si="1"/>
        <v>143109.62</v>
      </c>
      <c r="L11" s="377">
        <f t="shared" si="1"/>
        <v>155249.88</v>
      </c>
      <c r="M11" s="377">
        <f t="shared" si="1"/>
        <v>131522.95000000001</v>
      </c>
      <c r="N11" s="524">
        <f t="shared" si="0"/>
        <v>1717623.51</v>
      </c>
    </row>
    <row r="13" spans="1:14">
      <c r="A13" s="376" t="s">
        <v>1884</v>
      </c>
      <c r="B13" s="516">
        <v>5.4204661069680554E-2</v>
      </c>
      <c r="C13" s="516">
        <v>4.8050756058436055E-2</v>
      </c>
      <c r="D13" s="516">
        <v>4.8050756058436055E-2</v>
      </c>
      <c r="E13" s="516">
        <v>4.8050756058436055E-2</v>
      </c>
      <c r="F13" s="516">
        <v>4.8050756058436055E-2</v>
      </c>
      <c r="G13" s="516">
        <v>4.8050756058436055E-2</v>
      </c>
      <c r="H13" s="516">
        <v>4.8050756058436055E-2</v>
      </c>
      <c r="I13" s="516">
        <v>4.8050756058436055E-2</v>
      </c>
      <c r="J13" s="516">
        <v>4.8050756058436055E-2</v>
      </c>
      <c r="K13" s="516">
        <v>4.8050756058436055E-2</v>
      </c>
      <c r="L13" s="516">
        <v>4.8050756058436055E-2</v>
      </c>
      <c r="M13" s="516">
        <v>4.8050756058436055E-2</v>
      </c>
      <c r="N13" s="516"/>
    </row>
    <row r="15" spans="1:14" ht="13.5" thickBot="1">
      <c r="A15" s="375" t="s">
        <v>1885</v>
      </c>
      <c r="B15" s="382">
        <f>B11*B13</f>
        <v>7793.6431949419848</v>
      </c>
      <c r="C15" s="382">
        <f t="shared" ref="C15:M15" si="2">C11*C13</f>
        <v>6642.9747404134532</v>
      </c>
      <c r="D15" s="382">
        <f t="shared" si="2"/>
        <v>6994.3473356134482</v>
      </c>
      <c r="E15" s="382">
        <f t="shared" si="2"/>
        <v>6807.2545092865194</v>
      </c>
      <c r="F15" s="382">
        <f t="shared" si="2"/>
        <v>6746.5183536286559</v>
      </c>
      <c r="G15" s="382">
        <f t="shared" si="2"/>
        <v>6777.743176438109</v>
      </c>
      <c r="H15" s="382">
        <f t="shared" si="2"/>
        <v>6857.5732610309142</v>
      </c>
      <c r="I15" s="382">
        <f t="shared" si="2"/>
        <v>6639.4026472080686</v>
      </c>
      <c r="J15" s="382">
        <f t="shared" si="2"/>
        <v>7502.293799937419</v>
      </c>
      <c r="K15" s="382">
        <f t="shared" si="2"/>
        <v>6876.5254402354813</v>
      </c>
      <c r="L15" s="382">
        <f t="shared" si="2"/>
        <v>7459.8741119814704</v>
      </c>
      <c r="M15" s="382">
        <f t="shared" si="2"/>
        <v>6319.7771865358827</v>
      </c>
      <c r="N15" s="382">
        <f>SUM(B15:M15)</f>
        <v>83417.927757251397</v>
      </c>
    </row>
    <row r="16" spans="1:14" ht="13.5" thickTop="1"/>
    <row r="17" spans="1:2">
      <c r="B17" s="530"/>
    </row>
    <row r="18" spans="1:2">
      <c r="A18" s="517" t="s">
        <v>1886</v>
      </c>
    </row>
    <row r="19" spans="1:2">
      <c r="A19" s="371" t="s">
        <v>1887</v>
      </c>
    </row>
  </sheetData>
  <printOptions horizontalCentered="1"/>
  <pageMargins left="0.7" right="0.7" top="0.75" bottom="0.75" header="0.3" footer="0.3"/>
  <pageSetup scale="54" orientation="portrait" horizontalDpi="1200" verticalDpi="1200" r:id="rId1"/>
  <headerFooter>
    <oddFooter>&amp;R&amp;10&amp;A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
  <sheetViews>
    <sheetView zoomScale="85" zoomScaleNormal="85" workbookViewId="0">
      <selection activeCell="I22" sqref="I22"/>
    </sheetView>
  </sheetViews>
  <sheetFormatPr defaultRowHeight="12.75"/>
  <cols>
    <col min="1" max="1" width="2" style="371" customWidth="1"/>
    <col min="2" max="16384" width="8.88671875" style="371"/>
  </cols>
  <sheetData>
    <row r="1" spans="1:14">
      <c r="A1" s="370" t="s">
        <v>495</v>
      </c>
      <c r="B1" s="143"/>
      <c r="C1" s="143"/>
      <c r="D1" s="143"/>
      <c r="E1" s="143"/>
      <c r="F1" s="143"/>
      <c r="G1" s="143"/>
      <c r="H1" s="143"/>
      <c r="I1" s="143"/>
      <c r="J1" s="143"/>
      <c r="K1" s="143"/>
      <c r="L1" s="143"/>
      <c r="M1" s="143"/>
      <c r="N1" s="143"/>
    </row>
    <row r="2" spans="1:14">
      <c r="A2" s="143" t="s">
        <v>1892</v>
      </c>
      <c r="B2" s="143"/>
      <c r="C2" s="143"/>
      <c r="D2" s="143"/>
      <c r="E2" s="143"/>
      <c r="F2" s="143"/>
      <c r="G2" s="143"/>
      <c r="H2" s="143"/>
      <c r="I2" s="143"/>
      <c r="J2" s="143"/>
      <c r="K2" s="143"/>
      <c r="L2" s="143"/>
      <c r="M2" s="143"/>
      <c r="N2" s="143"/>
    </row>
    <row r="3" spans="1:14">
      <c r="A3" s="372" t="str">
        <f>'WP - O&amp;M Expenses'!A3</f>
        <v>Fiscal Year Ending April 30, 2016</v>
      </c>
      <c r="B3" s="143"/>
      <c r="C3" s="143"/>
      <c r="D3" s="143"/>
      <c r="E3" s="143"/>
      <c r="F3" s="143"/>
      <c r="G3" s="143"/>
      <c r="H3" s="143"/>
      <c r="I3" s="143"/>
      <c r="J3" s="143"/>
      <c r="K3" s="143"/>
      <c r="L3" s="143"/>
      <c r="M3" s="143"/>
      <c r="N3" s="143"/>
    </row>
    <row r="5" spans="1:14">
      <c r="B5" s="371" t="s">
        <v>1893</v>
      </c>
    </row>
    <row r="6" spans="1:14">
      <c r="B6" s="371" t="s">
        <v>1894</v>
      </c>
    </row>
  </sheetData>
  <printOptions horizontalCentered="1"/>
  <pageMargins left="0.5" right="0.5" top="0.75" bottom="0.75" header="0.3" footer="0.3"/>
  <pageSetup scale="68" orientation="portrait" horizontalDpi="1200" verticalDpi="1200" r:id="rId1"/>
  <headerFooter>
    <oddFooter>&amp;L&amp;10&amp;F&amp;R&amp;10&amp;A</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04"/>
  <sheetViews>
    <sheetView zoomScale="70" zoomScaleNormal="70" workbookViewId="0">
      <selection activeCell="M264" sqref="M264"/>
    </sheetView>
  </sheetViews>
  <sheetFormatPr defaultColWidth="8.88671875" defaultRowHeight="12.75"/>
  <cols>
    <col min="1" max="1" width="5.21875" style="142" customWidth="1"/>
    <col min="2" max="2" width="31.33203125" style="142" customWidth="1"/>
    <col min="3" max="3" width="13" style="145" customWidth="1"/>
    <col min="4" max="4" width="5.21875" style="145" customWidth="1"/>
    <col min="5" max="5" width="31.6640625" style="145" customWidth="1"/>
    <col min="6" max="6" width="13" style="145" customWidth="1"/>
    <col min="7" max="7" width="9.109375" style="142" bestFit="1" customWidth="1"/>
    <col min="8" max="8" width="17.109375" style="251" customWidth="1"/>
    <col min="9" max="9" width="9.33203125" style="142" customWidth="1"/>
    <col min="10" max="16384" width="8.88671875" style="142"/>
  </cols>
  <sheetData>
    <row r="1" spans="1:8">
      <c r="A1" s="141" t="s">
        <v>319</v>
      </c>
      <c r="B1" s="141"/>
      <c r="C1" s="141"/>
      <c r="D1" s="141"/>
      <c r="E1" s="141"/>
      <c r="F1" s="141"/>
      <c r="H1" s="142"/>
    </row>
    <row r="2" spans="1:8">
      <c r="A2" s="143" t="s">
        <v>320</v>
      </c>
      <c r="B2" s="143"/>
      <c r="C2" s="143"/>
      <c r="D2" s="143"/>
      <c r="E2" s="143"/>
      <c r="F2" s="143"/>
      <c r="H2" s="142"/>
    </row>
    <row r="3" spans="1:8">
      <c r="A3" s="143" t="s">
        <v>321</v>
      </c>
      <c r="B3" s="143"/>
      <c r="C3" s="143"/>
      <c r="D3" s="143"/>
      <c r="E3" s="143"/>
      <c r="F3" s="143"/>
      <c r="H3" s="142"/>
    </row>
    <row r="4" spans="1:8">
      <c r="A4" s="144" t="s">
        <v>1895</v>
      </c>
      <c r="B4" s="144"/>
      <c r="C4" s="144"/>
      <c r="D4" s="144"/>
      <c r="E4" s="144"/>
      <c r="F4" s="144"/>
      <c r="H4" s="142"/>
    </row>
    <row r="5" spans="1:8">
      <c r="H5" s="142"/>
    </row>
    <row r="6" spans="1:8" ht="13.5" thickBot="1">
      <c r="A6" s="588" t="s">
        <v>322</v>
      </c>
      <c r="B6" s="588"/>
      <c r="C6" s="588"/>
      <c r="D6" s="588"/>
      <c r="E6" s="588"/>
      <c r="F6" s="588"/>
      <c r="H6" s="142"/>
    </row>
    <row r="7" spans="1:8">
      <c r="A7" s="146" t="s">
        <v>4</v>
      </c>
      <c r="B7" s="147"/>
      <c r="C7" s="148" t="s">
        <v>323</v>
      </c>
      <c r="D7" s="148" t="s">
        <v>4</v>
      </c>
      <c r="E7" s="149"/>
      <c r="F7" s="150" t="s">
        <v>323</v>
      </c>
      <c r="H7" s="142"/>
    </row>
    <row r="8" spans="1:8">
      <c r="A8" s="151" t="s">
        <v>6</v>
      </c>
      <c r="B8" s="152" t="s">
        <v>324</v>
      </c>
      <c r="C8" s="153" t="s">
        <v>325</v>
      </c>
      <c r="D8" s="153" t="s">
        <v>326</v>
      </c>
      <c r="E8" s="153" t="s">
        <v>327</v>
      </c>
      <c r="F8" s="154" t="s">
        <v>325</v>
      </c>
      <c r="H8" s="142"/>
    </row>
    <row r="9" spans="1:8">
      <c r="A9" s="155"/>
      <c r="B9" s="156" t="s">
        <v>328</v>
      </c>
      <c r="C9" s="157"/>
      <c r="D9" s="158"/>
      <c r="E9" s="159" t="s">
        <v>329</v>
      </c>
      <c r="F9" s="160"/>
      <c r="H9" s="142"/>
    </row>
    <row r="10" spans="1:8">
      <c r="A10" s="161">
        <v>1</v>
      </c>
      <c r="B10" s="162" t="s">
        <v>330</v>
      </c>
      <c r="C10" s="163"/>
      <c r="D10" s="164"/>
      <c r="E10" s="165"/>
      <c r="F10" s="166"/>
      <c r="H10" s="142"/>
    </row>
    <row r="11" spans="1:8">
      <c r="A11" s="167"/>
      <c r="B11" s="168" t="s">
        <v>331</v>
      </c>
      <c r="C11" s="169">
        <f>'WP - Plant Functionalization'!B24</f>
        <v>199559163.72999999</v>
      </c>
      <c r="D11" s="170">
        <v>29</v>
      </c>
      <c r="E11" s="171" t="s">
        <v>332</v>
      </c>
      <c r="F11" s="172">
        <f>C56-F12-F15-F28-F33-F45-F54</f>
        <v>71921820.193406284</v>
      </c>
      <c r="H11" s="142"/>
    </row>
    <row r="12" spans="1:8">
      <c r="A12" s="173">
        <v>2</v>
      </c>
      <c r="B12" s="174" t="s">
        <v>333</v>
      </c>
      <c r="C12" s="175">
        <f>'WP - Trial Balance'!R261</f>
        <v>0</v>
      </c>
      <c r="D12" s="176">
        <v>30</v>
      </c>
      <c r="E12" s="177" t="s">
        <v>334</v>
      </c>
      <c r="F12" s="178">
        <f>'EIA 412 Sch 2 Total Utility'!F12*'WP - Allocation Factors'!E12</f>
        <v>811432.38223839563</v>
      </c>
      <c r="H12" s="142"/>
    </row>
    <row r="13" spans="1:8">
      <c r="A13" s="179">
        <v>3</v>
      </c>
      <c r="B13" s="162" t="s">
        <v>335</v>
      </c>
      <c r="C13" s="163"/>
      <c r="D13" s="180"/>
      <c r="E13" s="165"/>
      <c r="F13" s="166"/>
      <c r="H13" s="142"/>
    </row>
    <row r="14" spans="1:8">
      <c r="A14" s="179"/>
      <c r="B14" s="181" t="s">
        <v>336</v>
      </c>
      <c r="C14" s="163"/>
      <c r="D14" s="180">
        <v>31</v>
      </c>
      <c r="E14" s="165" t="s">
        <v>337</v>
      </c>
      <c r="F14" s="166"/>
      <c r="H14" s="142"/>
    </row>
    <row r="15" spans="1:8" ht="13.5" thickBot="1">
      <c r="A15" s="167"/>
      <c r="B15" s="168" t="s">
        <v>338</v>
      </c>
      <c r="C15" s="175">
        <f>'WP - Plant Functionalization'!C24</f>
        <v>52011713.339333311</v>
      </c>
      <c r="D15" s="170"/>
      <c r="E15" s="182" t="s">
        <v>339</v>
      </c>
      <c r="F15" s="178">
        <f>'EIA 412 Sch 2 Total Utility'!F15*'WP - Allocation Factors'!E12</f>
        <v>21771137.323318966</v>
      </c>
      <c r="H15" s="183"/>
    </row>
    <row r="16" spans="1:8" ht="13.5" thickBot="1">
      <c r="A16" s="173">
        <v>4</v>
      </c>
      <c r="B16" s="184" t="s">
        <v>340</v>
      </c>
      <c r="C16" s="185">
        <f>+C11+C12-C15</f>
        <v>147547450.39066666</v>
      </c>
      <c r="D16" s="186">
        <v>32</v>
      </c>
      <c r="E16" s="187" t="s">
        <v>341</v>
      </c>
      <c r="F16" s="185">
        <f>+F15+F11+F12</f>
        <v>94504389.898963645</v>
      </c>
      <c r="H16" s="142"/>
    </row>
    <row r="17" spans="1:10">
      <c r="A17" s="188">
        <v>5</v>
      </c>
      <c r="B17" s="165" t="s">
        <v>342</v>
      </c>
      <c r="C17" s="189">
        <v>0</v>
      </c>
      <c r="D17" s="180"/>
      <c r="E17" s="190" t="s">
        <v>343</v>
      </c>
      <c r="F17" s="166"/>
      <c r="H17" s="142"/>
    </row>
    <row r="18" spans="1:10">
      <c r="A18" s="191">
        <v>6</v>
      </c>
      <c r="B18" s="192" t="s">
        <v>335</v>
      </c>
      <c r="C18" s="163"/>
      <c r="D18" s="193"/>
      <c r="E18" s="165"/>
      <c r="F18" s="166"/>
      <c r="H18" s="142"/>
    </row>
    <row r="19" spans="1:10">
      <c r="A19" s="179"/>
      <c r="B19" s="181" t="s">
        <v>344</v>
      </c>
      <c r="C19" s="163"/>
      <c r="D19" s="180"/>
      <c r="E19" s="165"/>
      <c r="F19" s="166"/>
      <c r="H19" s="142"/>
    </row>
    <row r="20" spans="1:10">
      <c r="A20" s="179"/>
      <c r="B20" s="181" t="s">
        <v>345</v>
      </c>
      <c r="C20" s="189">
        <v>0</v>
      </c>
      <c r="D20" s="170">
        <v>33</v>
      </c>
      <c r="E20" s="171" t="s">
        <v>346</v>
      </c>
      <c r="F20" s="178">
        <f>'EIA 412 Sch 2 Total Utility'!F20*'WP - Allocation Factors'!$E$12</f>
        <v>84691487.820540413</v>
      </c>
      <c r="G20" s="145"/>
      <c r="H20" s="142"/>
    </row>
    <row r="21" spans="1:10" ht="13.5" thickBot="1">
      <c r="A21" s="194">
        <v>7</v>
      </c>
      <c r="B21" s="195" t="s">
        <v>347</v>
      </c>
      <c r="C21" s="196"/>
      <c r="D21" s="193">
        <v>34</v>
      </c>
      <c r="E21" s="165" t="s">
        <v>348</v>
      </c>
      <c r="F21" s="166"/>
      <c r="H21" s="142"/>
    </row>
    <row r="22" spans="1:10" ht="13.5" thickBot="1">
      <c r="A22" s="167"/>
      <c r="B22" s="197" t="s">
        <v>349</v>
      </c>
      <c r="C22" s="185">
        <f>+C16+C17-C20</f>
        <v>147547450.39066666</v>
      </c>
      <c r="D22" s="198"/>
      <c r="E22" s="182" t="s">
        <v>350</v>
      </c>
      <c r="F22" s="178">
        <f>'EIA 412 Sch 2 Total Utility'!F22*'WP - Allocation Factors'!$E$12</f>
        <v>0</v>
      </c>
      <c r="H22" s="145"/>
      <c r="I22" s="145"/>
      <c r="J22" s="145"/>
    </row>
    <row r="23" spans="1:10">
      <c r="A23" s="179"/>
      <c r="B23" s="199" t="s">
        <v>351</v>
      </c>
      <c r="C23" s="163"/>
      <c r="D23" s="180">
        <v>35</v>
      </c>
      <c r="E23" s="165" t="s">
        <v>352</v>
      </c>
      <c r="F23" s="200"/>
      <c r="H23" s="145"/>
      <c r="I23" s="145"/>
      <c r="J23" s="145"/>
    </row>
    <row r="24" spans="1:10">
      <c r="A24" s="167">
        <v>8</v>
      </c>
      <c r="B24" s="201" t="s">
        <v>353</v>
      </c>
      <c r="C24" s="175">
        <f>'EIA 412 Sch 4'!G20+'EIA 412 Sch 4'!G10</f>
        <v>4223416.0600000005</v>
      </c>
      <c r="D24" s="170"/>
      <c r="E24" s="182" t="s">
        <v>354</v>
      </c>
      <c r="F24" s="178">
        <f>'EIA 412 Sch 2 Total Utility'!F24*'WP - Allocation Factors'!$E$12</f>
        <v>0</v>
      </c>
      <c r="H24" s="145"/>
      <c r="I24" s="145"/>
      <c r="J24" s="145"/>
    </row>
    <row r="25" spans="1:10">
      <c r="A25" s="179">
        <v>9</v>
      </c>
      <c r="B25" s="162" t="s">
        <v>335</v>
      </c>
      <c r="C25" s="202"/>
      <c r="D25" s="180">
        <v>36</v>
      </c>
      <c r="E25" s="165" t="s">
        <v>355</v>
      </c>
      <c r="F25" s="203"/>
      <c r="H25" s="145"/>
      <c r="I25" s="145"/>
      <c r="J25" s="145"/>
    </row>
    <row r="26" spans="1:10">
      <c r="A26" s="167"/>
      <c r="B26" s="168" t="s">
        <v>356</v>
      </c>
      <c r="C26" s="175">
        <f>'WP - Plant Functionalization'!C23</f>
        <v>3262068.2799999989</v>
      </c>
      <c r="D26" s="170"/>
      <c r="E26" s="182" t="s">
        <v>357</v>
      </c>
      <c r="F26" s="178">
        <f>'EIA 412 Sch 2 Total Utility'!F26*'WP - Allocation Factors'!$E$12</f>
        <v>0</v>
      </c>
      <c r="H26" s="145"/>
      <c r="I26" s="145"/>
      <c r="J26" s="145"/>
    </row>
    <row r="27" spans="1:10" ht="13.5" thickBot="1">
      <c r="A27" s="179">
        <v>10</v>
      </c>
      <c r="B27" s="162" t="s">
        <v>358</v>
      </c>
      <c r="C27" s="202"/>
      <c r="D27" s="180"/>
      <c r="E27" s="165"/>
      <c r="F27" s="204"/>
      <c r="H27" s="145"/>
      <c r="I27" s="145"/>
      <c r="J27" s="145"/>
    </row>
    <row r="28" spans="1:10" ht="13.5" thickBot="1">
      <c r="A28" s="167"/>
      <c r="B28" s="168" t="s">
        <v>359</v>
      </c>
      <c r="C28" s="175">
        <f>'EIA 412 Sch 2 Total Utility'!C28*'WP - Allocation Factors'!$E$12</f>
        <v>21784279.837209571</v>
      </c>
      <c r="D28" s="170">
        <v>37</v>
      </c>
      <c r="E28" s="205" t="s">
        <v>360</v>
      </c>
      <c r="F28" s="206">
        <f>+F20+F22+F24-F26</f>
        <v>84691487.820540413</v>
      </c>
      <c r="H28" s="145"/>
      <c r="I28" s="145"/>
      <c r="J28" s="145"/>
    </row>
    <row r="29" spans="1:10" ht="13.5" thickBot="1">
      <c r="A29" s="173">
        <v>11</v>
      </c>
      <c r="B29" s="174" t="s">
        <v>361</v>
      </c>
      <c r="C29" s="207">
        <f>'EIA 412 Sch 2 Total Utility'!C29*'WP - Allocation Factors'!$E$12</f>
        <v>3580767.4104078882</v>
      </c>
      <c r="D29" s="170"/>
      <c r="E29" s="171"/>
      <c r="F29" s="178"/>
      <c r="H29" s="145"/>
      <c r="I29" s="145"/>
      <c r="J29" s="145"/>
    </row>
    <row r="30" spans="1:10" ht="13.5" thickBot="1">
      <c r="A30" s="173">
        <v>12</v>
      </c>
      <c r="B30" s="208" t="s">
        <v>362</v>
      </c>
      <c r="C30" s="206">
        <f>+C24-C26+C28+C29</f>
        <v>26326395.027617462</v>
      </c>
      <c r="D30" s="198"/>
      <c r="E30" s="209" t="s">
        <v>363</v>
      </c>
      <c r="F30" s="178"/>
      <c r="H30" s="142"/>
    </row>
    <row r="31" spans="1:10">
      <c r="A31" s="179"/>
      <c r="B31" s="199" t="s">
        <v>364</v>
      </c>
      <c r="C31" s="202"/>
      <c r="D31" s="176">
        <v>38</v>
      </c>
      <c r="E31" s="177" t="s">
        <v>365</v>
      </c>
      <c r="F31" s="210">
        <f>'EIA 412 Sch 2 Total Utility'!F31*'WP - Allocation Factors'!$E$12</f>
        <v>5649975.3421175964</v>
      </c>
      <c r="H31" s="142"/>
    </row>
    <row r="32" spans="1:10" ht="13.5" thickBot="1">
      <c r="A32" s="179">
        <v>13</v>
      </c>
      <c r="B32" s="162" t="s">
        <v>366</v>
      </c>
      <c r="C32" s="202"/>
      <c r="D32" s="176">
        <v>39</v>
      </c>
      <c r="E32" s="177" t="s">
        <v>367</v>
      </c>
      <c r="F32" s="211">
        <f>'EIA 412 Sch 2 Total Utility'!F32*'WP - Allocation Factors'!$E$12</f>
        <v>0</v>
      </c>
      <c r="H32" s="142"/>
    </row>
    <row r="33" spans="1:8" ht="13.5" thickBot="1">
      <c r="A33" s="167"/>
      <c r="B33" s="168" t="s">
        <v>368</v>
      </c>
      <c r="C33" s="175">
        <f>'EIA 412 Sch 2 Total Utility'!C33*'WP - Allocation Factors'!$E$12</f>
        <v>6363539.4259650409</v>
      </c>
      <c r="D33" s="170">
        <v>40</v>
      </c>
      <c r="E33" s="205" t="s">
        <v>369</v>
      </c>
      <c r="F33" s="206">
        <f>SUM(F31:F32)</f>
        <v>5649975.3421175964</v>
      </c>
      <c r="H33" s="142"/>
    </row>
    <row r="34" spans="1:8">
      <c r="A34" s="179">
        <v>14</v>
      </c>
      <c r="B34" s="162" t="s">
        <v>370</v>
      </c>
      <c r="C34" s="202"/>
      <c r="D34" s="180"/>
      <c r="E34" s="165"/>
      <c r="F34" s="204"/>
      <c r="H34" s="142"/>
    </row>
    <row r="35" spans="1:8">
      <c r="A35" s="167"/>
      <c r="B35" s="168" t="s">
        <v>371</v>
      </c>
      <c r="C35" s="175">
        <f>'EIA 412 Sch 2 Total Utility'!C35*'WP - Allocation Factors'!$E$12</f>
        <v>6516082.1753051654</v>
      </c>
      <c r="D35" s="170"/>
      <c r="E35" s="209" t="s">
        <v>372</v>
      </c>
      <c r="F35" s="178"/>
      <c r="H35" s="142"/>
    </row>
    <row r="36" spans="1:8">
      <c r="A36" s="173">
        <v>15</v>
      </c>
      <c r="B36" s="174" t="s">
        <v>373</v>
      </c>
      <c r="C36" s="212">
        <f>'EIA 412 Sch 2 Total Utility'!C36*'WP - Allocation Factors'!$E$12</f>
        <v>429447.79125975643</v>
      </c>
      <c r="D36" s="170">
        <v>41</v>
      </c>
      <c r="E36" s="171" t="s">
        <v>374</v>
      </c>
      <c r="F36" s="178">
        <f>'EIA 412 Sch 2 Total Utility'!F36*'WP - Allocation Factors'!$E$12</f>
        <v>0</v>
      </c>
      <c r="H36" s="142"/>
    </row>
    <row r="37" spans="1:8">
      <c r="A37" s="179">
        <v>16</v>
      </c>
      <c r="B37" s="162" t="s">
        <v>335</v>
      </c>
      <c r="C37" s="202"/>
      <c r="D37" s="180"/>
      <c r="E37" s="165"/>
      <c r="F37" s="204"/>
      <c r="H37" s="142"/>
    </row>
    <row r="38" spans="1:8">
      <c r="A38" s="167"/>
      <c r="B38" s="168" t="s">
        <v>375</v>
      </c>
      <c r="C38" s="189">
        <v>0</v>
      </c>
      <c r="D38" s="170">
        <v>42</v>
      </c>
      <c r="E38" s="171" t="s">
        <v>376</v>
      </c>
      <c r="F38" s="178">
        <f>'EIA 412 Sch 2 Total Utility'!F38*'WP - Allocation Factors'!$E$12</f>
        <v>3709696.0609272602</v>
      </c>
      <c r="H38" s="142"/>
    </row>
    <row r="39" spans="1:8">
      <c r="A39" s="179">
        <v>17</v>
      </c>
      <c r="B39" s="162" t="s">
        <v>377</v>
      </c>
      <c r="C39" s="202" t="s">
        <v>2</v>
      </c>
      <c r="D39" s="180">
        <v>43</v>
      </c>
      <c r="E39" s="165" t="s">
        <v>378</v>
      </c>
      <c r="F39" s="204"/>
      <c r="H39" s="142"/>
    </row>
    <row r="40" spans="1:8">
      <c r="A40" s="167"/>
      <c r="B40" s="168" t="s">
        <v>379</v>
      </c>
      <c r="C40" s="189">
        <v>0</v>
      </c>
      <c r="D40" s="170"/>
      <c r="E40" s="182" t="s">
        <v>380</v>
      </c>
      <c r="F40" s="178">
        <f>'EIA 412 Sch 2 Total Utility'!F40*'WP - Allocation Factors'!$E$12</f>
        <v>28842.27465124031</v>
      </c>
      <c r="H40" s="142"/>
    </row>
    <row r="41" spans="1:8">
      <c r="A41" s="173">
        <v>18</v>
      </c>
      <c r="B41" s="174" t="s">
        <v>381</v>
      </c>
      <c r="C41" s="212">
        <f>'EIA 412 Sch 2 Total Utility'!C41*'WP - Allocation Factors'!$E$12</f>
        <v>2178000.1209098888</v>
      </c>
      <c r="D41" s="170">
        <v>44</v>
      </c>
      <c r="E41" s="171" t="s">
        <v>382</v>
      </c>
      <c r="F41" s="178">
        <f>'EIA 412 Sch 2 Total Utility'!F41*'WP - Allocation Factors'!$E$12</f>
        <v>2830511.6407484957</v>
      </c>
      <c r="H41" s="142"/>
    </row>
    <row r="42" spans="1:8">
      <c r="A42" s="173">
        <v>19</v>
      </c>
      <c r="B42" s="174" t="s">
        <v>383</v>
      </c>
      <c r="C42" s="214">
        <v>0</v>
      </c>
      <c r="D42" s="170">
        <v>45</v>
      </c>
      <c r="E42" s="171" t="s">
        <v>384</v>
      </c>
      <c r="F42" s="213">
        <v>0</v>
      </c>
      <c r="H42" s="142"/>
    </row>
    <row r="43" spans="1:8">
      <c r="A43" s="173">
        <v>20</v>
      </c>
      <c r="B43" s="174" t="s">
        <v>385</v>
      </c>
      <c r="C43" s="214">
        <v>0</v>
      </c>
      <c r="D43" s="170">
        <v>46</v>
      </c>
      <c r="E43" s="171" t="s">
        <v>386</v>
      </c>
      <c r="F43" s="178">
        <f>'EIA 412 Sch 2 Total Utility'!F43*'WP - Allocation Factors'!$E$12</f>
        <v>1833726.0551959863</v>
      </c>
      <c r="H43" s="142"/>
    </row>
    <row r="44" spans="1:8" ht="13.5" thickBot="1">
      <c r="A44" s="215">
        <v>21</v>
      </c>
      <c r="B44" s="174" t="s">
        <v>387</v>
      </c>
      <c r="C44" s="214">
        <v>0</v>
      </c>
      <c r="D44" s="170">
        <v>47</v>
      </c>
      <c r="E44" s="171" t="s">
        <v>388</v>
      </c>
      <c r="F44" s="204">
        <f>'EIA 412 Sch 2 Total Utility'!F44*'WP - Allocation Factors'!$E$12</f>
        <v>280789.1981960854</v>
      </c>
      <c r="H44" s="142"/>
    </row>
    <row r="45" spans="1:8" ht="13.5" thickBot="1">
      <c r="A45" s="215">
        <v>22</v>
      </c>
      <c r="B45" s="174" t="s">
        <v>389</v>
      </c>
      <c r="C45" s="216">
        <v>0</v>
      </c>
      <c r="D45" s="170">
        <v>48</v>
      </c>
      <c r="E45" s="205" t="s">
        <v>390</v>
      </c>
      <c r="F45" s="206">
        <f>+F44+F43+F42+F41+F40+F38+F36</f>
        <v>8683565.2297190689</v>
      </c>
      <c r="H45" s="217"/>
    </row>
    <row r="46" spans="1:8" ht="13.5" thickBot="1">
      <c r="A46" s="215">
        <v>23</v>
      </c>
      <c r="B46" s="208" t="s">
        <v>391</v>
      </c>
      <c r="C46" s="206">
        <f>C33+C35+C36-C38+C40+C41+C42+C43+C44+C45</f>
        <v>15487069.513439851</v>
      </c>
      <c r="D46" s="198"/>
      <c r="E46" s="209" t="s">
        <v>392</v>
      </c>
      <c r="F46" s="178"/>
      <c r="H46" s="142"/>
    </row>
    <row r="47" spans="1:8">
      <c r="A47" s="179"/>
      <c r="B47" s="199" t="s">
        <v>393</v>
      </c>
      <c r="C47" s="202"/>
      <c r="D47" s="180">
        <v>49</v>
      </c>
      <c r="E47" s="165" t="s">
        <v>394</v>
      </c>
      <c r="F47" s="204"/>
      <c r="H47" s="142"/>
    </row>
    <row r="48" spans="1:8">
      <c r="A48" s="218">
        <v>24</v>
      </c>
      <c r="B48" s="201" t="s">
        <v>395</v>
      </c>
      <c r="C48" s="175">
        <f>'EIA 412 Sch 2 Total Utility'!C48*'WP - Allocation Factors'!$E$12</f>
        <v>440965.49585252797</v>
      </c>
      <c r="D48" s="170"/>
      <c r="E48" s="219" t="s">
        <v>396</v>
      </c>
      <c r="F48" s="220">
        <v>0</v>
      </c>
      <c r="H48" s="142"/>
    </row>
    <row r="49" spans="1:9">
      <c r="A49" s="191">
        <v>25</v>
      </c>
      <c r="B49" s="162" t="s">
        <v>397</v>
      </c>
      <c r="C49" s="202"/>
      <c r="D49" s="180">
        <v>50</v>
      </c>
      <c r="E49" s="165" t="s">
        <v>398</v>
      </c>
      <c r="F49" s="204"/>
      <c r="H49" s="142"/>
    </row>
    <row r="50" spans="1:9">
      <c r="A50" s="167"/>
      <c r="B50" s="168" t="s">
        <v>399</v>
      </c>
      <c r="C50" s="189">
        <v>0</v>
      </c>
      <c r="D50" s="170"/>
      <c r="E50" s="182" t="s">
        <v>400</v>
      </c>
      <c r="F50" s="178">
        <f>'EIA 412 Sch 2 Total Utility'!F50*'WP - Allocation Factors'!$E$12</f>
        <v>997887.70602988522</v>
      </c>
      <c r="H50" s="142"/>
    </row>
    <row r="51" spans="1:9">
      <c r="A51" s="191">
        <v>26</v>
      </c>
      <c r="B51" s="162" t="s">
        <v>401</v>
      </c>
      <c r="C51" s="221"/>
      <c r="D51" s="180"/>
      <c r="E51" s="165"/>
      <c r="F51" s="204"/>
      <c r="H51" s="142"/>
    </row>
    <row r="52" spans="1:9">
      <c r="A52" s="179"/>
      <c r="B52" s="181" t="s">
        <v>402</v>
      </c>
      <c r="C52" s="221"/>
      <c r="D52" s="180">
        <v>51</v>
      </c>
      <c r="E52" s="165" t="s">
        <v>403</v>
      </c>
      <c r="F52" s="204"/>
      <c r="H52" s="142"/>
    </row>
    <row r="53" spans="1:9" ht="13.5" thickBot="1">
      <c r="A53" s="167"/>
      <c r="B53" s="168" t="s">
        <v>404</v>
      </c>
      <c r="C53" s="202">
        <f>'EIA 412 Sch 2 Total Utility'!C53*'WP - Allocation Factors'!$E$12</f>
        <v>4725425.5697941054</v>
      </c>
      <c r="D53" s="170"/>
      <c r="E53" s="219" t="s">
        <v>405</v>
      </c>
      <c r="F53" s="222">
        <v>0</v>
      </c>
      <c r="H53" s="142"/>
    </row>
    <row r="54" spans="1:9" ht="13.5" thickBot="1">
      <c r="A54" s="173">
        <v>27</v>
      </c>
      <c r="B54" s="208" t="s">
        <v>406</v>
      </c>
      <c r="C54" s="206">
        <f>C48+C50+C53</f>
        <v>5166391.0656466335</v>
      </c>
      <c r="D54" s="198">
        <v>52</v>
      </c>
      <c r="E54" s="205" t="s">
        <v>407</v>
      </c>
      <c r="F54" s="206">
        <f>+F53+F50+F48</f>
        <v>997887.70602988522</v>
      </c>
      <c r="H54" s="142"/>
    </row>
    <row r="55" spans="1:9" ht="13.5" thickBot="1">
      <c r="A55" s="179"/>
      <c r="B55" s="223"/>
      <c r="C55" s="224"/>
      <c r="D55" s="180"/>
      <c r="E55" s="165"/>
      <c r="F55" s="204"/>
      <c r="H55" s="142"/>
    </row>
    <row r="56" spans="1:9" ht="13.5" thickBot="1">
      <c r="A56" s="225">
        <v>28</v>
      </c>
      <c r="B56" s="226" t="s">
        <v>408</v>
      </c>
      <c r="C56" s="227">
        <f>C22+C30+C46+C54</f>
        <v>194527305.9973706</v>
      </c>
      <c r="D56" s="228">
        <v>53</v>
      </c>
      <c r="E56" s="229" t="s">
        <v>409</v>
      </c>
      <c r="F56" s="227">
        <f>+F54+F45+F28+F16+F33</f>
        <v>194527305.9973706</v>
      </c>
      <c r="H56" s="230"/>
    </row>
    <row r="57" spans="1:9">
      <c r="A57" s="231"/>
      <c r="B57" s="231"/>
      <c r="C57" s="232"/>
      <c r="D57" s="233"/>
      <c r="E57" s="234"/>
      <c r="F57" s="235"/>
      <c r="H57" s="230"/>
    </row>
    <row r="58" spans="1:9">
      <c r="A58" s="231"/>
      <c r="B58" s="231"/>
      <c r="C58" s="236"/>
      <c r="D58" s="233"/>
      <c r="E58" s="234"/>
      <c r="F58" s="234"/>
      <c r="G58" s="231"/>
      <c r="H58" s="231"/>
      <c r="I58" s="231"/>
    </row>
    <row r="59" spans="1:9">
      <c r="A59" s="231"/>
      <c r="B59" s="589"/>
      <c r="C59" s="589"/>
      <c r="D59" s="233"/>
      <c r="E59" s="590"/>
      <c r="F59" s="590"/>
      <c r="G59" s="231"/>
      <c r="H59" s="231"/>
      <c r="I59" s="231"/>
    </row>
    <row r="60" spans="1:9">
      <c r="A60" s="231"/>
      <c r="B60" s="231"/>
      <c r="C60" s="236"/>
      <c r="D60" s="233"/>
      <c r="E60" s="234"/>
      <c r="F60" s="234"/>
      <c r="G60" s="231"/>
      <c r="H60" s="589"/>
      <c r="I60" s="589"/>
    </row>
    <row r="61" spans="1:9">
      <c r="A61" s="231"/>
      <c r="B61" s="237"/>
      <c r="C61" s="236"/>
      <c r="D61" s="233"/>
      <c r="E61" s="238"/>
      <c r="F61" s="236"/>
      <c r="G61" s="231"/>
      <c r="H61" s="239"/>
      <c r="I61" s="240"/>
    </row>
    <row r="62" spans="1:9">
      <c r="A62" s="231"/>
      <c r="B62" s="231"/>
      <c r="C62" s="236"/>
      <c r="D62" s="233"/>
      <c r="E62" s="238"/>
      <c r="F62" s="236"/>
      <c r="G62" s="231"/>
      <c r="H62" s="239"/>
      <c r="I62" s="240"/>
    </row>
    <row r="63" spans="1:9">
      <c r="A63" s="231"/>
      <c r="B63" s="231"/>
      <c r="C63" s="236"/>
      <c r="D63" s="233"/>
      <c r="E63" s="234"/>
      <c r="F63" s="236"/>
      <c r="G63" s="231"/>
      <c r="H63" s="239"/>
      <c r="I63" s="240"/>
    </row>
    <row r="64" spans="1:9">
      <c r="A64" s="231"/>
      <c r="B64" s="234"/>
      <c r="C64" s="234"/>
      <c r="D64" s="233"/>
      <c r="E64" s="234"/>
      <c r="F64" s="236"/>
      <c r="G64" s="241"/>
      <c r="H64" s="231"/>
      <c r="I64" s="231"/>
    </row>
    <row r="65" spans="1:9">
      <c r="A65" s="231"/>
      <c r="B65" s="234"/>
      <c r="C65" s="242"/>
      <c r="D65" s="233"/>
      <c r="E65" s="238"/>
      <c r="F65" s="236"/>
      <c r="G65" s="241"/>
      <c r="H65" s="243"/>
      <c r="I65" s="231"/>
    </row>
    <row r="66" spans="1:9">
      <c r="A66" s="231"/>
      <c r="B66" s="234"/>
      <c r="C66" s="236"/>
      <c r="D66" s="233"/>
      <c r="E66" s="234"/>
      <c r="F66" s="236"/>
      <c r="G66" s="241"/>
      <c r="H66" s="231"/>
      <c r="I66" s="231"/>
    </row>
    <row r="67" spans="1:9">
      <c r="A67" s="231"/>
      <c r="B67" s="234"/>
      <c r="C67" s="236"/>
      <c r="D67" s="233"/>
      <c r="E67" s="234"/>
      <c r="F67" s="236"/>
      <c r="G67" s="241"/>
      <c r="H67" s="231"/>
      <c r="I67" s="231"/>
    </row>
    <row r="68" spans="1:9">
      <c r="A68" s="231"/>
      <c r="B68" s="234"/>
      <c r="C68" s="236"/>
      <c r="D68" s="233"/>
      <c r="E68" s="234"/>
      <c r="F68" s="236"/>
      <c r="G68" s="241"/>
      <c r="H68" s="244"/>
      <c r="I68" s="231"/>
    </row>
    <row r="69" spans="1:9">
      <c r="A69" s="231"/>
      <c r="B69" s="234"/>
      <c r="C69" s="236"/>
      <c r="D69" s="233"/>
      <c r="E69" s="234"/>
      <c r="F69" s="236"/>
      <c r="G69" s="241"/>
      <c r="H69" s="244"/>
      <c r="I69" s="231"/>
    </row>
    <row r="70" spans="1:9">
      <c r="A70" s="231"/>
      <c r="B70" s="234"/>
      <c r="C70" s="236"/>
      <c r="D70" s="233"/>
      <c r="E70" s="234"/>
      <c r="F70" s="236"/>
      <c r="G70" s="241"/>
      <c r="H70" s="231"/>
      <c r="I70" s="231"/>
    </row>
    <row r="71" spans="1:9">
      <c r="A71" s="231"/>
      <c r="B71" s="234"/>
      <c r="C71" s="236"/>
      <c r="D71" s="233"/>
      <c r="E71" s="238"/>
      <c r="F71" s="236"/>
      <c r="G71" s="241"/>
      <c r="H71" s="231"/>
      <c r="I71" s="231"/>
    </row>
    <row r="72" spans="1:9">
      <c r="A72" s="231"/>
      <c r="B72" s="234"/>
      <c r="C72" s="236"/>
      <c r="D72" s="233"/>
      <c r="E72" s="234"/>
      <c r="F72" s="236"/>
      <c r="G72" s="241"/>
      <c r="H72" s="231"/>
      <c r="I72" s="231"/>
    </row>
    <row r="73" spans="1:9">
      <c r="A73" s="231"/>
      <c r="B73" s="234"/>
      <c r="C73" s="236"/>
      <c r="D73" s="233"/>
      <c r="E73" s="234"/>
      <c r="F73" s="236"/>
      <c r="G73" s="241"/>
      <c r="H73" s="231"/>
      <c r="I73" s="231"/>
    </row>
    <row r="74" spans="1:9">
      <c r="B74" s="231"/>
      <c r="C74" s="236"/>
      <c r="D74" s="233"/>
      <c r="E74" s="238"/>
      <c r="F74" s="236"/>
      <c r="G74" s="241"/>
      <c r="H74" s="244"/>
      <c r="I74" s="231"/>
    </row>
    <row r="75" spans="1:9">
      <c r="B75" s="237"/>
      <c r="C75" s="236"/>
      <c r="D75" s="234"/>
      <c r="E75" s="234"/>
      <c r="F75" s="236"/>
      <c r="G75" s="241"/>
      <c r="H75" s="231"/>
      <c r="I75" s="231"/>
    </row>
    <row r="76" spans="1:9">
      <c r="B76" s="231"/>
      <c r="C76" s="236"/>
      <c r="D76" s="234"/>
      <c r="E76" s="234"/>
      <c r="F76" s="236"/>
      <c r="G76" s="241"/>
      <c r="H76" s="231"/>
      <c r="I76" s="231"/>
    </row>
    <row r="77" spans="1:9">
      <c r="B77" s="231"/>
      <c r="C77" s="236"/>
      <c r="D77" s="234"/>
      <c r="E77" s="234"/>
      <c r="F77" s="236"/>
      <c r="G77" s="241"/>
      <c r="H77" s="231"/>
      <c r="I77" s="231"/>
    </row>
    <row r="78" spans="1:9">
      <c r="B78" s="237"/>
      <c r="C78" s="236"/>
      <c r="D78" s="234"/>
      <c r="E78" s="234"/>
      <c r="F78" s="236"/>
      <c r="G78" s="231"/>
      <c r="H78" s="231"/>
      <c r="I78" s="231"/>
    </row>
    <row r="79" spans="1:9">
      <c r="B79" s="231"/>
      <c r="C79" s="236"/>
      <c r="D79" s="234"/>
      <c r="E79" s="238"/>
      <c r="F79" s="236"/>
      <c r="G79" s="231"/>
      <c r="H79" s="231"/>
      <c r="I79" s="231"/>
    </row>
    <row r="80" spans="1:9">
      <c r="B80" s="231"/>
      <c r="C80" s="236"/>
      <c r="D80" s="234"/>
      <c r="E80" s="234"/>
      <c r="F80" s="236"/>
      <c r="G80" s="231"/>
      <c r="H80" s="231"/>
      <c r="I80" s="231"/>
    </row>
    <row r="81" spans="2:9">
      <c r="B81" s="237"/>
      <c r="C81" s="236"/>
      <c r="D81" s="234"/>
      <c r="E81" s="234"/>
      <c r="F81" s="236"/>
      <c r="G81" s="231"/>
      <c r="H81" s="231"/>
      <c r="I81" s="231"/>
    </row>
    <row r="82" spans="2:9">
      <c r="B82" s="231"/>
      <c r="C82" s="236"/>
      <c r="D82" s="234"/>
      <c r="E82" s="234"/>
      <c r="F82" s="236"/>
      <c r="G82" s="231"/>
      <c r="H82" s="245"/>
      <c r="I82" s="231"/>
    </row>
    <row r="83" spans="2:9">
      <c r="B83" s="231"/>
      <c r="C83" s="236"/>
      <c r="D83" s="234"/>
      <c r="E83" s="234"/>
      <c r="F83" s="236"/>
      <c r="G83" s="231"/>
      <c r="H83" s="245"/>
      <c r="I83" s="231"/>
    </row>
    <row r="84" spans="2:9">
      <c r="B84" s="237"/>
      <c r="C84" s="236"/>
      <c r="D84" s="234"/>
      <c r="E84" s="236"/>
      <c r="F84" s="236"/>
      <c r="G84" s="231"/>
      <c r="H84" s="245"/>
      <c r="I84" s="231"/>
    </row>
    <row r="85" spans="2:9">
      <c r="B85" s="231"/>
      <c r="C85" s="236"/>
      <c r="D85" s="234"/>
      <c r="E85" s="234"/>
      <c r="F85" s="236"/>
      <c r="G85" s="231"/>
      <c r="H85" s="245"/>
      <c r="I85" s="231"/>
    </row>
    <row r="86" spans="2:9">
      <c r="B86" s="231"/>
      <c r="C86" s="236"/>
      <c r="D86" s="234"/>
      <c r="E86" s="234"/>
      <c r="F86" s="236"/>
      <c r="G86" s="231"/>
      <c r="H86" s="245"/>
      <c r="I86" s="231"/>
    </row>
    <row r="87" spans="2:9">
      <c r="B87" s="237"/>
      <c r="C87" s="236"/>
      <c r="D87" s="234"/>
      <c r="E87" s="234"/>
      <c r="F87" s="236"/>
      <c r="G87" s="231"/>
      <c r="H87" s="245"/>
      <c r="I87" s="231"/>
    </row>
    <row r="88" spans="2:9">
      <c r="B88" s="231"/>
      <c r="C88" s="236"/>
      <c r="D88" s="234"/>
      <c r="E88" s="234"/>
      <c r="F88" s="236"/>
      <c r="G88" s="231"/>
      <c r="H88" s="245"/>
      <c r="I88" s="231"/>
    </row>
    <row r="89" spans="2:9">
      <c r="B89" s="231"/>
      <c r="C89" s="236"/>
      <c r="D89" s="234"/>
      <c r="E89" s="234"/>
      <c r="F89" s="234"/>
      <c r="G89" s="231"/>
      <c r="H89" s="245"/>
      <c r="I89" s="231"/>
    </row>
    <row r="90" spans="2:9">
      <c r="B90" s="231"/>
      <c r="C90" s="236"/>
      <c r="D90" s="234"/>
      <c r="E90" s="234"/>
      <c r="F90" s="242"/>
      <c r="G90" s="231"/>
      <c r="H90" s="245"/>
      <c r="I90" s="231"/>
    </row>
    <row r="91" spans="2:9">
      <c r="B91" s="231"/>
      <c r="C91" s="236"/>
      <c r="D91" s="234"/>
      <c r="E91" s="234"/>
      <c r="F91" s="236"/>
      <c r="G91" s="231"/>
      <c r="H91" s="245"/>
      <c r="I91" s="231"/>
    </row>
    <row r="92" spans="2:9">
      <c r="B92" s="231"/>
      <c r="C92" s="236"/>
      <c r="D92" s="234"/>
      <c r="E92" s="234"/>
      <c r="F92" s="236"/>
      <c r="G92" s="231"/>
      <c r="H92" s="245"/>
      <c r="I92" s="231"/>
    </row>
    <row r="93" spans="2:9">
      <c r="B93" s="231"/>
      <c r="C93" s="236"/>
      <c r="D93" s="234"/>
      <c r="E93" s="234"/>
      <c r="F93" s="236"/>
      <c r="G93" s="231"/>
      <c r="H93" s="245"/>
      <c r="I93" s="231"/>
    </row>
    <row r="94" spans="2:9">
      <c r="B94" s="237"/>
      <c r="C94" s="236"/>
      <c r="D94" s="234"/>
      <c r="E94" s="234"/>
      <c r="F94" s="236"/>
      <c r="G94" s="231"/>
      <c r="H94" s="245"/>
      <c r="I94" s="231"/>
    </row>
    <row r="95" spans="2:9">
      <c r="B95" s="231"/>
      <c r="C95" s="236"/>
      <c r="D95" s="246"/>
      <c r="E95" s="234"/>
      <c r="F95" s="236"/>
      <c r="G95" s="231"/>
      <c r="H95" s="245"/>
      <c r="I95" s="231"/>
    </row>
    <row r="96" spans="2:9">
      <c r="B96" s="231"/>
      <c r="C96" s="236"/>
      <c r="D96" s="246"/>
      <c r="E96" s="234"/>
      <c r="F96" s="236"/>
      <c r="G96" s="231"/>
      <c r="H96" s="245"/>
      <c r="I96" s="231"/>
    </row>
    <row r="97" spans="2:9">
      <c r="B97" s="231"/>
      <c r="C97" s="234"/>
      <c r="D97" s="234"/>
      <c r="E97" s="234"/>
      <c r="F97" s="236"/>
      <c r="G97" s="231"/>
      <c r="H97" s="245"/>
      <c r="I97" s="231"/>
    </row>
    <row r="98" spans="2:9">
      <c r="B98" s="247"/>
      <c r="C98" s="236"/>
      <c r="D98" s="234"/>
      <c r="E98" s="248"/>
      <c r="F98" s="236"/>
      <c r="G98" s="231"/>
      <c r="H98" s="245"/>
      <c r="I98" s="231"/>
    </row>
    <row r="99" spans="2:9">
      <c r="B99" s="231"/>
      <c r="C99" s="234"/>
      <c r="D99" s="234"/>
      <c r="E99" s="234"/>
      <c r="F99" s="234"/>
      <c r="G99" s="231"/>
      <c r="H99" s="245"/>
      <c r="I99" s="231"/>
    </row>
    <row r="100" spans="2:9">
      <c r="B100" s="231"/>
      <c r="C100" s="234"/>
      <c r="D100" s="234"/>
      <c r="E100" s="234"/>
      <c r="F100" s="234"/>
      <c r="G100" s="231"/>
      <c r="H100" s="245"/>
      <c r="I100" s="231"/>
    </row>
    <row r="101" spans="2:9">
      <c r="B101" s="239"/>
      <c r="C101" s="249"/>
      <c r="D101" s="234"/>
      <c r="E101" s="250"/>
      <c r="F101" s="249"/>
      <c r="G101" s="231"/>
      <c r="H101" s="245"/>
      <c r="I101" s="231"/>
    </row>
    <row r="102" spans="2:9">
      <c r="B102" s="239"/>
      <c r="C102" s="234"/>
      <c r="D102" s="234"/>
      <c r="E102" s="234"/>
      <c r="F102" s="234"/>
      <c r="G102" s="231"/>
      <c r="H102" s="245"/>
      <c r="I102" s="231"/>
    </row>
    <row r="103" spans="2:9">
      <c r="B103" s="241"/>
      <c r="C103" s="234"/>
      <c r="D103" s="234"/>
      <c r="E103" s="234"/>
      <c r="F103" s="234"/>
      <c r="G103" s="231"/>
      <c r="H103" s="245"/>
      <c r="I103" s="231"/>
    </row>
    <row r="104" spans="2:9">
      <c r="B104" s="241"/>
      <c r="C104" s="234"/>
      <c r="D104" s="234"/>
      <c r="E104" s="234"/>
      <c r="F104" s="234"/>
      <c r="G104" s="231"/>
      <c r="H104" s="245"/>
      <c r="I104" s="231"/>
    </row>
  </sheetData>
  <mergeCells count="4">
    <mergeCell ref="A6:F6"/>
    <mergeCell ref="B59:C59"/>
    <mergeCell ref="E59:F59"/>
    <mergeCell ref="H60:I60"/>
  </mergeCells>
  <printOptions horizontalCentered="1"/>
  <pageMargins left="0.7" right="0.7" top="0.75" bottom="0.75" header="0.3" footer="0.3"/>
  <pageSetup scale="76" orientation="portrait" r:id="rId1"/>
  <headerFooter>
    <oddFooter>&amp;L&amp;10&amp;F&amp;R&amp;10&amp;A
Page &amp;P of &amp;N</oddFooter>
  </headerFooter>
  <colBreaks count="1" manualBreakCount="1">
    <brk id="6"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05"/>
  <sheetViews>
    <sheetView topLeftCell="B1" zoomScale="70" zoomScaleNormal="70" workbookViewId="0">
      <selection activeCell="M264" sqref="M264"/>
    </sheetView>
  </sheetViews>
  <sheetFormatPr defaultColWidth="8.88671875" defaultRowHeight="12.75"/>
  <cols>
    <col min="1" max="1" width="5.21875" style="142" customWidth="1"/>
    <col min="2" max="2" width="31.33203125" style="142" customWidth="1"/>
    <col min="3" max="3" width="13" style="145" customWidth="1"/>
    <col min="4" max="4" width="5.21875" style="145" customWidth="1"/>
    <col min="5" max="5" width="31.6640625" style="145" customWidth="1"/>
    <col min="6" max="6" width="13" style="145" customWidth="1"/>
    <col min="7" max="7" width="9.109375" style="142" bestFit="1" customWidth="1"/>
    <col min="8" max="8" width="17.109375" style="251" customWidth="1"/>
    <col min="9" max="9" width="9.33203125" style="142" customWidth="1"/>
    <col min="10" max="16384" width="8.88671875" style="142"/>
  </cols>
  <sheetData>
    <row r="1" spans="1:8">
      <c r="A1" s="141" t="s">
        <v>319</v>
      </c>
      <c r="B1" s="141"/>
      <c r="C1" s="141"/>
      <c r="D1" s="141"/>
      <c r="E1" s="141"/>
      <c r="F1" s="141"/>
      <c r="H1" s="142"/>
    </row>
    <row r="2" spans="1:8">
      <c r="A2" s="143" t="s">
        <v>320</v>
      </c>
      <c r="B2" s="143"/>
      <c r="C2" s="143"/>
      <c r="D2" s="143"/>
      <c r="E2" s="143"/>
      <c r="F2" s="143"/>
      <c r="H2" s="142"/>
    </row>
    <row r="3" spans="1:8">
      <c r="A3" s="143" t="s">
        <v>321</v>
      </c>
      <c r="B3" s="143"/>
      <c r="C3" s="143"/>
      <c r="D3" s="143"/>
      <c r="E3" s="143"/>
      <c r="F3" s="143"/>
      <c r="H3" s="142"/>
    </row>
    <row r="4" spans="1:8">
      <c r="A4" s="144" t="s">
        <v>1895</v>
      </c>
      <c r="B4" s="144"/>
      <c r="C4" s="144"/>
      <c r="D4" s="144"/>
      <c r="E4" s="144"/>
      <c r="F4" s="144"/>
      <c r="H4" s="142"/>
    </row>
    <row r="5" spans="1:8">
      <c r="H5" s="142"/>
    </row>
    <row r="6" spans="1:8" ht="13.5" thickBot="1">
      <c r="A6" s="588" t="s">
        <v>410</v>
      </c>
      <c r="B6" s="588"/>
      <c r="C6" s="588"/>
      <c r="D6" s="588"/>
      <c r="E6" s="588"/>
      <c r="F6" s="588"/>
      <c r="H6" s="142"/>
    </row>
    <row r="7" spans="1:8">
      <c r="A7" s="146" t="s">
        <v>4</v>
      </c>
      <c r="B7" s="147"/>
      <c r="C7" s="148" t="s">
        <v>323</v>
      </c>
      <c r="D7" s="148" t="s">
        <v>4</v>
      </c>
      <c r="E7" s="149"/>
      <c r="F7" s="150" t="s">
        <v>323</v>
      </c>
      <c r="H7" s="142"/>
    </row>
    <row r="8" spans="1:8">
      <c r="A8" s="151" t="s">
        <v>6</v>
      </c>
      <c r="B8" s="152" t="s">
        <v>324</v>
      </c>
      <c r="C8" s="153" t="s">
        <v>325</v>
      </c>
      <c r="D8" s="153" t="s">
        <v>326</v>
      </c>
      <c r="E8" s="153" t="s">
        <v>327</v>
      </c>
      <c r="F8" s="154" t="s">
        <v>325</v>
      </c>
      <c r="H8" s="142"/>
    </row>
    <row r="9" spans="1:8">
      <c r="A9" s="155"/>
      <c r="B9" s="156" t="s">
        <v>328</v>
      </c>
      <c r="C9" s="157"/>
      <c r="D9" s="158"/>
      <c r="E9" s="159" t="s">
        <v>329</v>
      </c>
      <c r="F9" s="160"/>
      <c r="H9" s="142"/>
    </row>
    <row r="10" spans="1:8">
      <c r="A10" s="161">
        <v>1</v>
      </c>
      <c r="B10" s="162" t="s">
        <v>330</v>
      </c>
      <c r="C10" s="163"/>
      <c r="D10" s="164"/>
      <c r="E10" s="165"/>
      <c r="F10" s="166"/>
      <c r="H10" s="142"/>
    </row>
    <row r="11" spans="1:8">
      <c r="A11" s="167"/>
      <c r="B11" s="168" t="s">
        <v>331</v>
      </c>
      <c r="C11" s="169">
        <f>'WP - Plant Functionalization'!B24</f>
        <v>199559163.72999999</v>
      </c>
      <c r="D11" s="170">
        <v>29</v>
      </c>
      <c r="E11" s="171" t="s">
        <v>332</v>
      </c>
      <c r="F11" s="545">
        <v>77153484</v>
      </c>
      <c r="H11" s="142"/>
    </row>
    <row r="12" spans="1:8">
      <c r="A12" s="173">
        <v>2</v>
      </c>
      <c r="B12" s="174" t="s">
        <v>333</v>
      </c>
      <c r="C12" s="175">
        <f>'WP - Trial Balance'!R261</f>
        <v>0</v>
      </c>
      <c r="D12" s="176">
        <v>30</v>
      </c>
      <c r="E12" s="177" t="s">
        <v>334</v>
      </c>
      <c r="F12" s="220">
        <f>487218+1000000</f>
        <v>1487218</v>
      </c>
      <c r="H12" s="142"/>
    </row>
    <row r="13" spans="1:8">
      <c r="A13" s="179">
        <v>3</v>
      </c>
      <c r="B13" s="162" t="s">
        <v>335</v>
      </c>
      <c r="C13" s="163"/>
      <c r="D13" s="180"/>
      <c r="E13" s="165"/>
      <c r="F13" s="166"/>
      <c r="H13" s="142"/>
    </row>
    <row r="14" spans="1:8">
      <c r="A14" s="179"/>
      <c r="B14" s="181" t="s">
        <v>336</v>
      </c>
      <c r="C14" s="163"/>
      <c r="D14" s="180">
        <v>31</v>
      </c>
      <c r="E14" s="165" t="s">
        <v>337</v>
      </c>
      <c r="F14" s="166"/>
      <c r="H14" s="142"/>
    </row>
    <row r="15" spans="1:8" ht="13.5" thickBot="1">
      <c r="A15" s="167"/>
      <c r="B15" s="168" t="s">
        <v>338</v>
      </c>
      <c r="C15" s="175">
        <f>'WP - Plant Functionalization'!C24</f>
        <v>52011713.339333311</v>
      </c>
      <c r="D15" s="170"/>
      <c r="E15" s="182" t="s">
        <v>339</v>
      </c>
      <c r="F15" s="220">
        <v>39902804</v>
      </c>
      <c r="H15" s="183"/>
    </row>
    <row r="16" spans="1:8" ht="13.5" thickBot="1">
      <c r="A16" s="173">
        <v>4</v>
      </c>
      <c r="B16" s="184" t="s">
        <v>340</v>
      </c>
      <c r="C16" s="185">
        <f>+C11+C12-C15</f>
        <v>147547450.39066666</v>
      </c>
      <c r="D16" s="186">
        <v>32</v>
      </c>
      <c r="E16" s="187" t="s">
        <v>341</v>
      </c>
      <c r="F16" s="185">
        <f>+F15+F11+F12</f>
        <v>118543506</v>
      </c>
      <c r="H16" s="142"/>
    </row>
    <row r="17" spans="1:10">
      <c r="A17" s="188">
        <v>5</v>
      </c>
      <c r="B17" s="165" t="s">
        <v>342</v>
      </c>
      <c r="C17" s="252">
        <v>0</v>
      </c>
      <c r="D17" s="180"/>
      <c r="E17" s="190" t="s">
        <v>343</v>
      </c>
      <c r="F17" s="166"/>
      <c r="H17" s="142"/>
    </row>
    <row r="18" spans="1:10">
      <c r="A18" s="191">
        <v>6</v>
      </c>
      <c r="B18" s="192" t="s">
        <v>335</v>
      </c>
      <c r="C18" s="163"/>
      <c r="D18" s="193"/>
      <c r="E18" s="165"/>
      <c r="F18" s="166"/>
      <c r="H18" s="142"/>
    </row>
    <row r="19" spans="1:10">
      <c r="A19" s="179"/>
      <c r="B19" s="181" t="s">
        <v>344</v>
      </c>
      <c r="C19" s="163"/>
      <c r="D19" s="180"/>
      <c r="E19" s="165"/>
      <c r="F19" s="166"/>
      <c r="H19" s="142"/>
    </row>
    <row r="20" spans="1:10">
      <c r="A20" s="179"/>
      <c r="B20" s="181" t="s">
        <v>345</v>
      </c>
      <c r="C20" s="252">
        <v>0</v>
      </c>
      <c r="D20" s="170">
        <v>33</v>
      </c>
      <c r="E20" s="171" t="s">
        <v>346</v>
      </c>
      <c r="F20" s="220">
        <f>2485000+152740140</f>
        <v>155225140</v>
      </c>
      <c r="G20" s="145"/>
      <c r="H20" s="142"/>
    </row>
    <row r="21" spans="1:10" ht="13.5" thickBot="1">
      <c r="A21" s="194">
        <v>7</v>
      </c>
      <c r="B21" s="195" t="s">
        <v>347</v>
      </c>
      <c r="C21" s="196"/>
      <c r="D21" s="193">
        <v>34</v>
      </c>
      <c r="E21" s="165" t="s">
        <v>348</v>
      </c>
      <c r="F21" s="166"/>
      <c r="H21" s="142"/>
    </row>
    <row r="22" spans="1:10" ht="13.5" thickBot="1">
      <c r="A22" s="167"/>
      <c r="B22" s="197" t="s">
        <v>349</v>
      </c>
      <c r="C22" s="185">
        <f>+C16+C17-C20</f>
        <v>147547450.39066666</v>
      </c>
      <c r="D22" s="198"/>
      <c r="E22" s="182" t="s">
        <v>350</v>
      </c>
      <c r="F22" s="220">
        <v>0</v>
      </c>
      <c r="H22" s="145"/>
      <c r="I22" s="145"/>
      <c r="J22" s="145"/>
    </row>
    <row r="23" spans="1:10">
      <c r="A23" s="179"/>
      <c r="B23" s="199" t="s">
        <v>351</v>
      </c>
      <c r="C23" s="163"/>
      <c r="D23" s="180">
        <v>35</v>
      </c>
      <c r="E23" s="165" t="s">
        <v>352</v>
      </c>
      <c r="F23" s="166"/>
      <c r="H23" s="145"/>
      <c r="I23" s="145"/>
      <c r="J23" s="145"/>
    </row>
    <row r="24" spans="1:10">
      <c r="A24" s="167">
        <v>8</v>
      </c>
      <c r="B24" s="201" t="s">
        <v>353</v>
      </c>
      <c r="C24" s="253">
        <f>'WP - Trial Balance'!I262-'EIA 412 Sch 2 Total Utility'!C11</f>
        <v>168597038.27000001</v>
      </c>
      <c r="D24" s="170"/>
      <c r="E24" s="182" t="s">
        <v>354</v>
      </c>
      <c r="F24" s="220">
        <v>0</v>
      </c>
      <c r="H24" s="145"/>
      <c r="I24" s="145"/>
      <c r="J24" s="145"/>
    </row>
    <row r="25" spans="1:10">
      <c r="A25" s="179">
        <v>9</v>
      </c>
      <c r="B25" s="162" t="s">
        <v>335</v>
      </c>
      <c r="C25" s="202"/>
      <c r="D25" s="180">
        <v>36</v>
      </c>
      <c r="E25" s="165" t="s">
        <v>355</v>
      </c>
      <c r="F25" s="204"/>
      <c r="H25" s="145"/>
      <c r="I25" s="145"/>
      <c r="J25" s="145"/>
    </row>
    <row r="26" spans="1:10">
      <c r="A26" s="167"/>
      <c r="B26" s="168" t="s">
        <v>356</v>
      </c>
      <c r="C26" s="253">
        <f>150631771-C15</f>
        <v>98620057.660666689</v>
      </c>
      <c r="D26" s="170"/>
      <c r="E26" s="182" t="s">
        <v>357</v>
      </c>
      <c r="F26" s="220">
        <v>0</v>
      </c>
      <c r="H26" s="145"/>
      <c r="I26" s="145"/>
      <c r="J26" s="145"/>
    </row>
    <row r="27" spans="1:10" ht="13.5" thickBot="1">
      <c r="A27" s="179">
        <v>10</v>
      </c>
      <c r="B27" s="162" t="s">
        <v>358</v>
      </c>
      <c r="C27" s="202"/>
      <c r="D27" s="180"/>
      <c r="E27" s="165"/>
      <c r="F27" s="204"/>
      <c r="H27" s="145"/>
      <c r="I27" s="145"/>
      <c r="J27" s="145"/>
    </row>
    <row r="28" spans="1:10" ht="13.5" thickBot="1">
      <c r="A28" s="167"/>
      <c r="B28" s="168" t="s">
        <v>359</v>
      </c>
      <c r="C28" s="252">
        <v>39926892</v>
      </c>
      <c r="D28" s="170">
        <v>37</v>
      </c>
      <c r="E28" s="205" t="s">
        <v>360</v>
      </c>
      <c r="F28" s="206">
        <f>+F20+F22+F24-F26</f>
        <v>155225140</v>
      </c>
      <c r="H28" s="145"/>
      <c r="I28" s="145"/>
      <c r="J28" s="145"/>
    </row>
    <row r="29" spans="1:10" ht="13.5" thickBot="1">
      <c r="A29" s="173">
        <v>11</v>
      </c>
      <c r="B29" s="174" t="s">
        <v>361</v>
      </c>
      <c r="C29" s="207">
        <f>'WP - Trial Balance'!S261</f>
        <v>6562939.6399999997</v>
      </c>
      <c r="D29" s="170"/>
      <c r="E29" s="171"/>
      <c r="F29" s="178"/>
      <c r="H29" s="145"/>
      <c r="I29" s="145"/>
      <c r="J29" s="145"/>
    </row>
    <row r="30" spans="1:10" ht="13.5" thickBot="1">
      <c r="A30" s="173">
        <v>12</v>
      </c>
      <c r="B30" s="208" t="s">
        <v>362</v>
      </c>
      <c r="C30" s="206">
        <f>+C24-C26+C28+C29</f>
        <v>116466812.24933332</v>
      </c>
      <c r="D30" s="198"/>
      <c r="E30" s="209" t="s">
        <v>363</v>
      </c>
      <c r="F30" s="178"/>
      <c r="H30" s="142"/>
    </row>
    <row r="31" spans="1:10">
      <c r="A31" s="179"/>
      <c r="B31" s="199" t="s">
        <v>364</v>
      </c>
      <c r="C31" s="202"/>
      <c r="D31" s="176">
        <v>38</v>
      </c>
      <c r="E31" s="177" t="s">
        <v>365</v>
      </c>
      <c r="F31" s="254">
        <f>1277862+9077585</f>
        <v>10355447</v>
      </c>
      <c r="H31" s="142"/>
    </row>
    <row r="32" spans="1:10" ht="13.5" thickBot="1">
      <c r="A32" s="179">
        <v>13</v>
      </c>
      <c r="B32" s="162" t="s">
        <v>366</v>
      </c>
      <c r="C32" s="202"/>
      <c r="D32" s="176">
        <v>39</v>
      </c>
      <c r="E32" s="177" t="s">
        <v>367</v>
      </c>
      <c r="F32" s="255">
        <v>0</v>
      </c>
      <c r="H32" s="142"/>
    </row>
    <row r="33" spans="1:8" ht="13.5" thickBot="1">
      <c r="A33" s="167"/>
      <c r="B33" s="168" t="s">
        <v>368</v>
      </c>
      <c r="C33" s="252">
        <f>3483797+8179492+0</f>
        <v>11663289</v>
      </c>
      <c r="D33" s="170">
        <v>40</v>
      </c>
      <c r="E33" s="205" t="s">
        <v>369</v>
      </c>
      <c r="F33" s="206">
        <f>SUM(F31:F32)</f>
        <v>10355447</v>
      </c>
      <c r="H33" s="142"/>
    </row>
    <row r="34" spans="1:8">
      <c r="A34" s="179">
        <v>14</v>
      </c>
      <c r="B34" s="162" t="s">
        <v>370</v>
      </c>
      <c r="C34" s="202"/>
      <c r="D34" s="180"/>
      <c r="E34" s="165"/>
      <c r="F34" s="204"/>
      <c r="H34" s="142"/>
    </row>
    <row r="35" spans="1:8">
      <c r="A35" s="167"/>
      <c r="B35" s="168" t="s">
        <v>371</v>
      </c>
      <c r="C35" s="252">
        <v>11942874</v>
      </c>
      <c r="D35" s="170"/>
      <c r="E35" s="209" t="s">
        <v>372</v>
      </c>
      <c r="F35" s="178"/>
      <c r="H35" s="142"/>
    </row>
    <row r="36" spans="1:8">
      <c r="A36" s="173">
        <v>15</v>
      </c>
      <c r="B36" s="174" t="s">
        <v>373</v>
      </c>
      <c r="C36" s="256">
        <f>774473+12632</f>
        <v>787105</v>
      </c>
      <c r="D36" s="170">
        <v>41</v>
      </c>
      <c r="E36" s="171" t="s">
        <v>374</v>
      </c>
      <c r="F36" s="220">
        <v>0</v>
      </c>
      <c r="H36" s="142"/>
    </row>
    <row r="37" spans="1:8">
      <c r="A37" s="179">
        <v>16</v>
      </c>
      <c r="B37" s="162" t="s">
        <v>335</v>
      </c>
      <c r="C37" s="202"/>
      <c r="D37" s="180"/>
      <c r="E37" s="165"/>
      <c r="F37" s="204"/>
      <c r="H37" s="142"/>
    </row>
    <row r="38" spans="1:8">
      <c r="A38" s="167"/>
      <c r="B38" s="168" t="s">
        <v>375</v>
      </c>
      <c r="C38" s="252">
        <v>0</v>
      </c>
      <c r="D38" s="170">
        <v>42</v>
      </c>
      <c r="E38" s="171" t="s">
        <v>376</v>
      </c>
      <c r="F38" s="220">
        <f>2411976+4387268</f>
        <v>6799244</v>
      </c>
      <c r="H38" s="142"/>
    </row>
    <row r="39" spans="1:8">
      <c r="A39" s="179">
        <v>17</v>
      </c>
      <c r="B39" s="162" t="s">
        <v>377</v>
      </c>
      <c r="C39" s="202" t="s">
        <v>2</v>
      </c>
      <c r="D39" s="180">
        <v>43</v>
      </c>
      <c r="E39" s="165" t="s">
        <v>378</v>
      </c>
      <c r="F39" s="204"/>
      <c r="H39" s="142"/>
    </row>
    <row r="40" spans="1:8">
      <c r="A40" s="167"/>
      <c r="B40" s="168" t="s">
        <v>379</v>
      </c>
      <c r="C40" s="252">
        <v>0</v>
      </c>
      <c r="D40" s="170"/>
      <c r="E40" s="182" t="s">
        <v>380</v>
      </c>
      <c r="F40" s="220">
        <v>52863</v>
      </c>
      <c r="H40" s="142"/>
    </row>
    <row r="41" spans="1:8">
      <c r="A41" s="173">
        <v>18</v>
      </c>
      <c r="B41" s="174" t="s">
        <v>381</v>
      </c>
      <c r="C41" s="212">
        <f>'WP - Trial Balance'!J261</f>
        <v>3991905</v>
      </c>
      <c r="D41" s="170">
        <v>44</v>
      </c>
      <c r="E41" s="171" t="s">
        <v>382</v>
      </c>
      <c r="F41" s="220">
        <v>5187848</v>
      </c>
      <c r="H41" s="142"/>
    </row>
    <row r="42" spans="1:8">
      <c r="A42" s="173">
        <v>19</v>
      </c>
      <c r="B42" s="174" t="s">
        <v>383</v>
      </c>
      <c r="C42" s="256">
        <v>0</v>
      </c>
      <c r="D42" s="170">
        <v>45</v>
      </c>
      <c r="E42" s="171" t="s">
        <v>384</v>
      </c>
      <c r="F42" s="220">
        <v>0</v>
      </c>
      <c r="H42" s="142"/>
    </row>
    <row r="43" spans="1:8">
      <c r="A43" s="173">
        <v>20</v>
      </c>
      <c r="B43" s="174" t="s">
        <v>385</v>
      </c>
      <c r="C43" s="256">
        <f>0*I62</f>
        <v>0</v>
      </c>
      <c r="D43" s="170">
        <v>46</v>
      </c>
      <c r="E43" s="171" t="s">
        <v>386</v>
      </c>
      <c r="F43" s="220">
        <v>3360909</v>
      </c>
      <c r="H43" s="142"/>
    </row>
    <row r="44" spans="1:8" ht="13.5" thickBot="1">
      <c r="A44" s="215">
        <v>21</v>
      </c>
      <c r="B44" s="174" t="s">
        <v>387</v>
      </c>
      <c r="C44" s="256">
        <v>0</v>
      </c>
      <c r="D44" s="170">
        <v>47</v>
      </c>
      <c r="E44" s="171" t="s">
        <v>388</v>
      </c>
      <c r="F44" s="222">
        <f>289134+225505</f>
        <v>514639</v>
      </c>
      <c r="H44" s="142"/>
    </row>
    <row r="45" spans="1:8" ht="13.5" thickBot="1">
      <c r="A45" s="215">
        <v>22</v>
      </c>
      <c r="B45" s="174" t="s">
        <v>389</v>
      </c>
      <c r="C45" s="257">
        <v>0</v>
      </c>
      <c r="D45" s="170">
        <v>48</v>
      </c>
      <c r="E45" s="205" t="s">
        <v>390</v>
      </c>
      <c r="F45" s="206">
        <f>+F44+F43+F42+F41+F40+F38+F36</f>
        <v>15915503</v>
      </c>
      <c r="H45" s="217"/>
    </row>
    <row r="46" spans="1:8" ht="13.5" thickBot="1">
      <c r="A46" s="215">
        <v>23</v>
      </c>
      <c r="B46" s="208" t="s">
        <v>391</v>
      </c>
      <c r="C46" s="206">
        <f>C33+C35+C36-C38+C40+C41+C42+C43+C44+C45</f>
        <v>28385173</v>
      </c>
      <c r="D46" s="198"/>
      <c r="E46" s="209" t="s">
        <v>392</v>
      </c>
      <c r="F46" s="178"/>
      <c r="H46" s="142"/>
    </row>
    <row r="47" spans="1:8">
      <c r="A47" s="179"/>
      <c r="B47" s="199" t="s">
        <v>393</v>
      </c>
      <c r="C47" s="202"/>
      <c r="D47" s="180">
        <v>49</v>
      </c>
      <c r="E47" s="165" t="s">
        <v>394</v>
      </c>
      <c r="F47" s="204"/>
      <c r="H47" s="142"/>
    </row>
    <row r="48" spans="1:8">
      <c r="A48" s="218">
        <v>24</v>
      </c>
      <c r="B48" s="201" t="s">
        <v>395</v>
      </c>
      <c r="C48" s="252">
        <v>808215</v>
      </c>
      <c r="D48" s="170"/>
      <c r="E48" s="219" t="s">
        <v>396</v>
      </c>
      <c r="F48" s="220">
        <v>0</v>
      </c>
      <c r="H48" s="142"/>
    </row>
    <row r="49" spans="1:9">
      <c r="A49" s="191">
        <v>25</v>
      </c>
      <c r="B49" s="162" t="s">
        <v>397</v>
      </c>
      <c r="C49" s="202"/>
      <c r="D49" s="180">
        <v>50</v>
      </c>
      <c r="E49" s="165" t="s">
        <v>398</v>
      </c>
      <c r="F49" s="204"/>
      <c r="H49" s="142"/>
    </row>
    <row r="50" spans="1:9">
      <c r="A50" s="167"/>
      <c r="B50" s="168" t="s">
        <v>399</v>
      </c>
      <c r="C50" s="252">
        <v>0</v>
      </c>
      <c r="D50" s="170"/>
      <c r="E50" s="182" t="s">
        <v>400</v>
      </c>
      <c r="F50" s="220">
        <v>1828959</v>
      </c>
      <c r="H50" s="142"/>
    </row>
    <row r="51" spans="1:9">
      <c r="A51" s="191">
        <v>26</v>
      </c>
      <c r="B51" s="162" t="s">
        <v>401</v>
      </c>
      <c r="C51" s="202"/>
      <c r="D51" s="180"/>
      <c r="E51" s="165"/>
      <c r="F51" s="204"/>
      <c r="H51" s="142"/>
    </row>
    <row r="52" spans="1:9">
      <c r="A52" s="179"/>
      <c r="B52" s="181" t="s">
        <v>402</v>
      </c>
      <c r="C52" s="202"/>
      <c r="D52" s="180">
        <v>51</v>
      </c>
      <c r="E52" s="165" t="s">
        <v>403</v>
      </c>
      <c r="F52" s="204"/>
      <c r="H52" s="142"/>
    </row>
    <row r="53" spans="1:9" ht="13.5" thickBot="1">
      <c r="A53" s="167"/>
      <c r="B53" s="168" t="s">
        <v>404</v>
      </c>
      <c r="C53" s="546">
        <v>8660904</v>
      </c>
      <c r="D53" s="170"/>
      <c r="E53" s="219" t="s">
        <v>405</v>
      </c>
      <c r="F53" s="222">
        <v>0</v>
      </c>
      <c r="H53" s="142"/>
    </row>
    <row r="54" spans="1:9" ht="13.5" thickBot="1">
      <c r="A54" s="173">
        <v>27</v>
      </c>
      <c r="B54" s="208" t="s">
        <v>406</v>
      </c>
      <c r="C54" s="206">
        <f>C48+C50+C53</f>
        <v>9469119</v>
      </c>
      <c r="D54" s="198">
        <v>52</v>
      </c>
      <c r="E54" s="205" t="s">
        <v>407</v>
      </c>
      <c r="F54" s="206">
        <f>+F53+F50+F48</f>
        <v>1828959</v>
      </c>
      <c r="H54" s="532" t="s">
        <v>412</v>
      </c>
    </row>
    <row r="55" spans="1:9" ht="13.5" thickBot="1">
      <c r="A55" s="179"/>
      <c r="B55" s="223"/>
      <c r="C55" s="224"/>
      <c r="D55" s="180"/>
      <c r="E55" s="165"/>
      <c r="F55" s="204"/>
      <c r="H55" s="533" t="s">
        <v>1936</v>
      </c>
    </row>
    <row r="56" spans="1:9" ht="13.5" thickBot="1">
      <c r="A56" s="225">
        <v>28</v>
      </c>
      <c r="B56" s="226" t="s">
        <v>408</v>
      </c>
      <c r="C56" s="227">
        <f>C22+C30+C46+C54</f>
        <v>301868554.63999999</v>
      </c>
      <c r="D56" s="228">
        <v>53</v>
      </c>
      <c r="E56" s="229" t="s">
        <v>409</v>
      </c>
      <c r="F56" s="227">
        <f>+F54+F45+F28+F16+F33</f>
        <v>301868555</v>
      </c>
      <c r="H56" s="534">
        <f>C56-F56</f>
        <v>-0.36000001430511475</v>
      </c>
    </row>
    <row r="57" spans="1:9">
      <c r="A57" s="231"/>
      <c r="B57" s="231"/>
      <c r="D57" s="233"/>
      <c r="E57" s="234"/>
      <c r="F57" s="235"/>
      <c r="H57" s="230"/>
    </row>
    <row r="58" spans="1:9">
      <c r="A58" s="231"/>
      <c r="B58" s="258" t="s">
        <v>1937</v>
      </c>
      <c r="D58" s="233"/>
      <c r="E58" s="234"/>
      <c r="F58" s="235"/>
      <c r="H58" s="230"/>
    </row>
    <row r="59" spans="1:9">
      <c r="A59" s="231"/>
      <c r="B59" s="259" t="s">
        <v>411</v>
      </c>
      <c r="C59" s="260">
        <v>292399436</v>
      </c>
      <c r="D59" s="261"/>
      <c r="E59" s="262"/>
      <c r="F59" s="234"/>
      <c r="G59" s="231"/>
      <c r="H59" s="231"/>
      <c r="I59" s="231"/>
    </row>
    <row r="60" spans="1:9">
      <c r="A60" s="231"/>
      <c r="B60" s="263" t="s">
        <v>412</v>
      </c>
      <c r="C60" s="260">
        <f>C56-C59</f>
        <v>9469118.6399999857</v>
      </c>
      <c r="D60" s="261" t="s">
        <v>1896</v>
      </c>
      <c r="E60" s="262"/>
      <c r="F60" s="234"/>
      <c r="G60" s="231"/>
      <c r="H60" s="231"/>
      <c r="I60" s="231"/>
    </row>
    <row r="61" spans="1:9">
      <c r="A61" s="231"/>
      <c r="B61" s="231"/>
      <c r="C61" s="236"/>
      <c r="D61" s="261" t="s">
        <v>1897</v>
      </c>
      <c r="E61" s="531">
        <f>C48+C53</f>
        <v>9469119</v>
      </c>
      <c r="F61" s="234"/>
      <c r="G61" s="231"/>
      <c r="H61" s="589"/>
      <c r="I61" s="589"/>
    </row>
    <row r="62" spans="1:9">
      <c r="A62" s="231"/>
      <c r="B62" s="237"/>
      <c r="C62" s="236"/>
      <c r="D62" s="233"/>
      <c r="E62" s="238"/>
      <c r="F62" s="236"/>
      <c r="G62" s="231"/>
      <c r="H62" s="239"/>
      <c r="I62" s="240"/>
    </row>
    <row r="63" spans="1:9">
      <c r="A63" s="231"/>
      <c r="B63" s="231"/>
      <c r="C63" s="236"/>
      <c r="D63" s="233"/>
      <c r="E63" s="238"/>
      <c r="F63" s="236"/>
      <c r="G63" s="231"/>
      <c r="H63" s="239"/>
      <c r="I63" s="240"/>
    </row>
    <row r="64" spans="1:9">
      <c r="A64" s="231"/>
      <c r="B64" s="231"/>
      <c r="C64" s="236"/>
      <c r="D64" s="233"/>
      <c r="E64" s="234"/>
      <c r="F64" s="236"/>
      <c r="G64" s="231"/>
      <c r="H64" s="239"/>
      <c r="I64" s="240"/>
    </row>
    <row r="65" spans="1:9">
      <c r="A65" s="231"/>
      <c r="B65" s="234"/>
      <c r="C65" s="234"/>
      <c r="D65" s="233"/>
      <c r="E65" s="234"/>
      <c r="F65" s="236"/>
      <c r="G65" s="241"/>
      <c r="H65" s="231"/>
      <c r="I65" s="231"/>
    </row>
    <row r="66" spans="1:9">
      <c r="A66" s="231"/>
      <c r="B66" s="234"/>
      <c r="C66" s="242"/>
      <c r="D66" s="233"/>
      <c r="E66" s="238"/>
      <c r="F66" s="236"/>
      <c r="G66" s="241"/>
      <c r="H66" s="243"/>
      <c r="I66" s="231"/>
    </row>
    <row r="67" spans="1:9">
      <c r="A67" s="231"/>
      <c r="B67" s="234"/>
      <c r="C67" s="236"/>
      <c r="D67" s="233"/>
      <c r="E67" s="234"/>
      <c r="F67" s="236"/>
      <c r="G67" s="241"/>
      <c r="H67" s="231"/>
      <c r="I67" s="231"/>
    </row>
    <row r="68" spans="1:9">
      <c r="A68" s="231"/>
      <c r="B68" s="234"/>
      <c r="C68" s="236"/>
      <c r="D68" s="233"/>
      <c r="E68" s="234"/>
      <c r="F68" s="236"/>
      <c r="G68" s="241"/>
      <c r="H68" s="231"/>
      <c r="I68" s="231"/>
    </row>
    <row r="69" spans="1:9">
      <c r="A69" s="231"/>
      <c r="B69" s="234"/>
      <c r="C69" s="236"/>
      <c r="D69" s="233"/>
      <c r="E69" s="234"/>
      <c r="F69" s="236"/>
      <c r="G69" s="241"/>
      <c r="H69" s="244"/>
      <c r="I69" s="231"/>
    </row>
    <row r="70" spans="1:9">
      <c r="A70" s="231"/>
      <c r="B70" s="234"/>
      <c r="C70" s="236"/>
      <c r="D70" s="233"/>
      <c r="E70" s="234"/>
      <c r="F70" s="236"/>
      <c r="G70" s="241"/>
      <c r="H70" s="244"/>
      <c r="I70" s="231"/>
    </row>
    <row r="71" spans="1:9">
      <c r="A71" s="231"/>
      <c r="B71" s="234"/>
      <c r="C71" s="236"/>
      <c r="D71" s="233"/>
      <c r="E71" s="234"/>
      <c r="F71" s="236"/>
      <c r="G71" s="241"/>
      <c r="H71" s="231"/>
      <c r="I71" s="231"/>
    </row>
    <row r="72" spans="1:9">
      <c r="A72" s="231"/>
      <c r="B72" s="234"/>
      <c r="C72" s="236"/>
      <c r="D72" s="233"/>
      <c r="E72" s="238"/>
      <c r="F72" s="236"/>
      <c r="G72" s="241"/>
      <c r="H72" s="231"/>
      <c r="I72" s="231"/>
    </row>
    <row r="73" spans="1:9">
      <c r="A73" s="231"/>
      <c r="B73" s="234"/>
      <c r="C73" s="236"/>
      <c r="D73" s="233"/>
      <c r="E73" s="234"/>
      <c r="F73" s="236"/>
      <c r="G73" s="241"/>
      <c r="H73" s="231"/>
      <c r="I73" s="231"/>
    </row>
    <row r="74" spans="1:9">
      <c r="A74" s="231"/>
      <c r="B74" s="234"/>
      <c r="C74" s="236"/>
      <c r="D74" s="233"/>
      <c r="E74" s="234"/>
      <c r="F74" s="236"/>
      <c r="G74" s="241"/>
      <c r="H74" s="231"/>
      <c r="I74" s="231"/>
    </row>
    <row r="75" spans="1:9">
      <c r="B75" s="231"/>
      <c r="C75" s="236"/>
      <c r="D75" s="233"/>
      <c r="E75" s="238"/>
      <c r="F75" s="236"/>
      <c r="G75" s="241"/>
      <c r="H75" s="244"/>
      <c r="I75" s="231"/>
    </row>
    <row r="76" spans="1:9">
      <c r="B76" s="237"/>
      <c r="C76" s="236"/>
      <c r="D76" s="234"/>
      <c r="E76" s="234"/>
      <c r="F76" s="236"/>
      <c r="G76" s="241"/>
      <c r="H76" s="231"/>
      <c r="I76" s="231"/>
    </row>
    <row r="77" spans="1:9">
      <c r="B77" s="231"/>
      <c r="C77" s="236"/>
      <c r="D77" s="234"/>
      <c r="E77" s="234"/>
      <c r="F77" s="236"/>
      <c r="G77" s="241"/>
      <c r="H77" s="231"/>
      <c r="I77" s="231"/>
    </row>
    <row r="78" spans="1:9">
      <c r="B78" s="231"/>
      <c r="C78" s="236"/>
      <c r="D78" s="234"/>
      <c r="E78" s="234"/>
      <c r="F78" s="236"/>
      <c r="G78" s="241"/>
      <c r="H78" s="231"/>
      <c r="I78" s="231"/>
    </row>
    <row r="79" spans="1:9">
      <c r="B79" s="237"/>
      <c r="C79" s="236"/>
      <c r="D79" s="234"/>
      <c r="E79" s="234"/>
      <c r="F79" s="236"/>
      <c r="G79" s="231"/>
      <c r="H79" s="231"/>
      <c r="I79" s="231"/>
    </row>
    <row r="80" spans="1:9">
      <c r="B80" s="231"/>
      <c r="C80" s="236"/>
      <c r="D80" s="234"/>
      <c r="E80" s="238"/>
      <c r="F80" s="236"/>
      <c r="G80" s="231"/>
      <c r="H80" s="231"/>
      <c r="I80" s="231"/>
    </row>
    <row r="81" spans="2:9">
      <c r="B81" s="231"/>
      <c r="C81" s="236"/>
      <c r="D81" s="234"/>
      <c r="E81" s="234"/>
      <c r="F81" s="236"/>
      <c r="G81" s="231"/>
      <c r="H81" s="231"/>
      <c r="I81" s="231"/>
    </row>
    <row r="82" spans="2:9">
      <c r="B82" s="237"/>
      <c r="C82" s="236"/>
      <c r="D82" s="234"/>
      <c r="E82" s="234"/>
      <c r="F82" s="236"/>
      <c r="G82" s="231"/>
      <c r="H82" s="231"/>
      <c r="I82" s="231"/>
    </row>
    <row r="83" spans="2:9">
      <c r="B83" s="231"/>
      <c r="C83" s="236"/>
      <c r="D83" s="234"/>
      <c r="E83" s="234"/>
      <c r="F83" s="236"/>
      <c r="G83" s="231"/>
      <c r="H83" s="245"/>
      <c r="I83" s="231"/>
    </row>
    <row r="84" spans="2:9">
      <c r="B84" s="231"/>
      <c r="C84" s="236"/>
      <c r="D84" s="234"/>
      <c r="E84" s="234"/>
      <c r="F84" s="236"/>
      <c r="G84" s="231"/>
      <c r="H84" s="245"/>
      <c r="I84" s="231"/>
    </row>
    <row r="85" spans="2:9">
      <c r="B85" s="237"/>
      <c r="C85" s="236"/>
      <c r="D85" s="234"/>
      <c r="E85" s="236"/>
      <c r="F85" s="236"/>
      <c r="G85" s="231"/>
      <c r="H85" s="245"/>
      <c r="I85" s="231"/>
    </row>
    <row r="86" spans="2:9">
      <c r="B86" s="231"/>
      <c r="C86" s="236"/>
      <c r="D86" s="234"/>
      <c r="E86" s="234"/>
      <c r="F86" s="236"/>
      <c r="G86" s="231"/>
      <c r="H86" s="245"/>
      <c r="I86" s="231"/>
    </row>
    <row r="87" spans="2:9">
      <c r="B87" s="231"/>
      <c r="C87" s="236"/>
      <c r="D87" s="234"/>
      <c r="E87" s="234"/>
      <c r="F87" s="236"/>
      <c r="G87" s="231"/>
      <c r="H87" s="245"/>
      <c r="I87" s="231"/>
    </row>
    <row r="88" spans="2:9">
      <c r="B88" s="237"/>
      <c r="C88" s="236"/>
      <c r="D88" s="234"/>
      <c r="E88" s="234"/>
      <c r="F88" s="236"/>
      <c r="G88" s="231"/>
      <c r="H88" s="245"/>
      <c r="I88" s="231"/>
    </row>
    <row r="89" spans="2:9">
      <c r="B89" s="231"/>
      <c r="C89" s="236"/>
      <c r="D89" s="234"/>
      <c r="E89" s="234"/>
      <c r="F89" s="236"/>
      <c r="G89" s="231"/>
      <c r="H89" s="245"/>
      <c r="I89" s="231"/>
    </row>
    <row r="90" spans="2:9">
      <c r="B90" s="231"/>
      <c r="C90" s="236"/>
      <c r="D90" s="234"/>
      <c r="E90" s="234"/>
      <c r="F90" s="234"/>
      <c r="G90" s="231"/>
      <c r="H90" s="245"/>
      <c r="I90" s="231"/>
    </row>
    <row r="91" spans="2:9">
      <c r="B91" s="231"/>
      <c r="C91" s="236"/>
      <c r="D91" s="234"/>
      <c r="E91" s="234"/>
      <c r="F91" s="242"/>
      <c r="G91" s="231"/>
      <c r="H91" s="245"/>
      <c r="I91" s="231"/>
    </row>
    <row r="92" spans="2:9">
      <c r="B92" s="231"/>
      <c r="C92" s="236"/>
      <c r="D92" s="234"/>
      <c r="E92" s="234"/>
      <c r="F92" s="236"/>
      <c r="G92" s="231"/>
      <c r="H92" s="245"/>
      <c r="I92" s="231"/>
    </row>
    <row r="93" spans="2:9">
      <c r="B93" s="231"/>
      <c r="C93" s="236"/>
      <c r="D93" s="234"/>
      <c r="E93" s="234"/>
      <c r="F93" s="236"/>
      <c r="G93" s="231"/>
      <c r="H93" s="245"/>
      <c r="I93" s="231"/>
    </row>
    <row r="94" spans="2:9">
      <c r="B94" s="231"/>
      <c r="C94" s="236"/>
      <c r="D94" s="234"/>
      <c r="E94" s="234"/>
      <c r="F94" s="236"/>
      <c r="G94" s="231"/>
      <c r="H94" s="245"/>
      <c r="I94" s="231"/>
    </row>
    <row r="95" spans="2:9">
      <c r="B95" s="237"/>
      <c r="C95" s="236"/>
      <c r="D95" s="234"/>
      <c r="E95" s="234"/>
      <c r="F95" s="236"/>
      <c r="G95" s="231"/>
      <c r="H95" s="245"/>
      <c r="I95" s="231"/>
    </row>
    <row r="96" spans="2:9">
      <c r="B96" s="231"/>
      <c r="C96" s="236"/>
      <c r="D96" s="246"/>
      <c r="E96" s="234"/>
      <c r="F96" s="236"/>
      <c r="G96" s="231"/>
      <c r="H96" s="245"/>
      <c r="I96" s="231"/>
    </row>
    <row r="97" spans="2:9">
      <c r="B97" s="231"/>
      <c r="C97" s="236"/>
      <c r="D97" s="246"/>
      <c r="E97" s="234"/>
      <c r="F97" s="236"/>
      <c r="G97" s="231"/>
      <c r="H97" s="245"/>
      <c r="I97" s="231"/>
    </row>
    <row r="98" spans="2:9">
      <c r="B98" s="231"/>
      <c r="C98" s="234"/>
      <c r="D98" s="234"/>
      <c r="E98" s="234"/>
      <c r="F98" s="236"/>
      <c r="G98" s="231"/>
      <c r="H98" s="245"/>
      <c r="I98" s="231"/>
    </row>
    <row r="99" spans="2:9">
      <c r="B99" s="247"/>
      <c r="C99" s="236"/>
      <c r="D99" s="234"/>
      <c r="E99" s="248"/>
      <c r="F99" s="236"/>
      <c r="G99" s="231"/>
      <c r="H99" s="245"/>
      <c r="I99" s="231"/>
    </row>
    <row r="100" spans="2:9">
      <c r="B100" s="231"/>
      <c r="C100" s="234"/>
      <c r="D100" s="234"/>
      <c r="E100" s="234"/>
      <c r="F100" s="234"/>
      <c r="G100" s="231"/>
      <c r="H100" s="245"/>
      <c r="I100" s="231"/>
    </row>
    <row r="101" spans="2:9">
      <c r="B101" s="231"/>
      <c r="C101" s="234"/>
      <c r="D101" s="234"/>
      <c r="E101" s="234"/>
      <c r="F101" s="234"/>
      <c r="G101" s="231"/>
      <c r="H101" s="245"/>
      <c r="I101" s="231"/>
    </row>
    <row r="102" spans="2:9">
      <c r="B102" s="239"/>
      <c r="C102" s="249"/>
      <c r="D102" s="234"/>
      <c r="E102" s="250"/>
      <c r="F102" s="249"/>
      <c r="G102" s="231"/>
      <c r="H102" s="245"/>
      <c r="I102" s="231"/>
    </row>
    <row r="103" spans="2:9">
      <c r="B103" s="239"/>
      <c r="C103" s="234"/>
      <c r="D103" s="234"/>
      <c r="E103" s="234"/>
      <c r="F103" s="234"/>
      <c r="G103" s="231"/>
      <c r="H103" s="245"/>
      <c r="I103" s="231"/>
    </row>
    <row r="104" spans="2:9">
      <c r="B104" s="241"/>
      <c r="C104" s="234"/>
      <c r="D104" s="234"/>
      <c r="E104" s="234"/>
      <c r="F104" s="234"/>
      <c r="G104" s="231"/>
      <c r="H104" s="245"/>
      <c r="I104" s="231"/>
    </row>
    <row r="105" spans="2:9">
      <c r="B105" s="241"/>
      <c r="C105" s="234"/>
      <c r="D105" s="234"/>
      <c r="E105" s="234"/>
      <c r="F105" s="234"/>
      <c r="G105" s="231"/>
      <c r="H105" s="245"/>
      <c r="I105" s="231"/>
    </row>
  </sheetData>
  <mergeCells count="2">
    <mergeCell ref="A6:F6"/>
    <mergeCell ref="H61:I61"/>
  </mergeCells>
  <printOptions horizontalCentered="1"/>
  <pageMargins left="0.7" right="0.7" top="0.75" bottom="0.75" header="0.3" footer="0.3"/>
  <pageSetup scale="76" orientation="portrait" r:id="rId1"/>
  <headerFooter>
    <oddFooter>&amp;L&amp;10&amp;F&amp;R&amp;10&amp;A
Page &amp;P of &amp;N</oddFooter>
  </headerFooter>
  <colBreaks count="1" manualBreakCount="1">
    <brk id="6"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53"/>
  <sheetViews>
    <sheetView zoomScale="85" zoomScaleNormal="85" workbookViewId="0">
      <selection activeCell="M264" sqref="M264"/>
    </sheetView>
  </sheetViews>
  <sheetFormatPr defaultColWidth="8.88671875" defaultRowHeight="12.75"/>
  <cols>
    <col min="1" max="1" width="5.21875" style="266" customWidth="1"/>
    <col min="2" max="2" width="60" style="266" customWidth="1"/>
    <col min="3" max="3" width="13" style="266" customWidth="1"/>
    <col min="4" max="4" width="2.21875" style="266" customWidth="1"/>
    <col min="5" max="5" width="7.109375" style="266" customWidth="1"/>
    <col min="6" max="16384" width="8.88671875" style="266"/>
  </cols>
  <sheetData>
    <row r="1" spans="1:4">
      <c r="A1" s="264" t="s">
        <v>319</v>
      </c>
      <c r="B1" s="264"/>
      <c r="C1" s="264"/>
      <c r="D1" s="265"/>
    </row>
    <row r="2" spans="1:4">
      <c r="A2" s="267" t="s">
        <v>320</v>
      </c>
      <c r="B2" s="267"/>
      <c r="C2" s="267"/>
      <c r="D2" s="265"/>
    </row>
    <row r="3" spans="1:4">
      <c r="A3" s="267" t="s">
        <v>413</v>
      </c>
      <c r="B3" s="267"/>
      <c r="C3" s="267"/>
      <c r="D3" s="265"/>
    </row>
    <row r="4" spans="1:4">
      <c r="A4" s="268" t="str">
        <f>'EIA 412 Sch 2 Electric'!A4:F4</f>
        <v>Fiscal Year Ending April 30, 2016</v>
      </c>
      <c r="B4" s="268"/>
      <c r="C4" s="268"/>
      <c r="D4" s="269"/>
    </row>
    <row r="5" spans="1:4">
      <c r="A5" s="265"/>
      <c r="B5" s="265"/>
      <c r="C5" s="265"/>
      <c r="D5" s="265"/>
    </row>
    <row r="6" spans="1:4" ht="13.5" thickBot="1">
      <c r="A6" s="591" t="s">
        <v>414</v>
      </c>
      <c r="B6" s="591"/>
      <c r="C6" s="591"/>
      <c r="D6" s="270"/>
    </row>
    <row r="7" spans="1:4">
      <c r="A7" s="271" t="s">
        <v>4</v>
      </c>
      <c r="B7" s="272"/>
      <c r="C7" s="273" t="s">
        <v>7</v>
      </c>
    </row>
    <row r="8" spans="1:4">
      <c r="A8" s="274" t="s">
        <v>6</v>
      </c>
      <c r="B8" s="275"/>
      <c r="C8" s="276" t="s">
        <v>325</v>
      </c>
    </row>
    <row r="9" spans="1:4">
      <c r="A9" s="277">
        <v>1</v>
      </c>
      <c r="B9" s="278" t="s">
        <v>415</v>
      </c>
      <c r="C9" s="543">
        <v>84490759.920000002</v>
      </c>
    </row>
    <row r="10" spans="1:4">
      <c r="A10" s="277">
        <v>2</v>
      </c>
      <c r="B10" s="278" t="s">
        <v>416</v>
      </c>
      <c r="C10" s="279">
        <f>'EIA 412 Sch 7'!C31+'EIA 412 Sch 7'!D31</f>
        <v>44310761.024543785</v>
      </c>
    </row>
    <row r="11" spans="1:4">
      <c r="A11" s="277">
        <v>3</v>
      </c>
      <c r="B11" s="278" t="s">
        <v>417</v>
      </c>
      <c r="C11" s="279">
        <f>'EIA 412 Sch 7'!E31-'EIA 412 Sch 7'!E29</f>
        <v>1778697.9300000002</v>
      </c>
    </row>
    <row r="12" spans="1:4">
      <c r="A12" s="280">
        <v>4</v>
      </c>
      <c r="B12" s="281" t="s">
        <v>418</v>
      </c>
      <c r="C12" s="282">
        <f>'WP - Plant Functionalization'!D24</f>
        <v>6121279.9987999983</v>
      </c>
    </row>
    <row r="13" spans="1:4">
      <c r="A13" s="277">
        <v>5</v>
      </c>
      <c r="B13" s="278" t="s">
        <v>419</v>
      </c>
      <c r="C13" s="283">
        <v>0</v>
      </c>
    </row>
    <row r="14" spans="1:4" ht="13.5" thickBot="1">
      <c r="A14" s="284">
        <v>6</v>
      </c>
      <c r="B14" s="285" t="s">
        <v>420</v>
      </c>
      <c r="C14" s="286">
        <f>'EIA 412 Sch 3 Total Utility'!C14*'WP - Allocation Factors'!$E$12</f>
        <v>5881032.1721784035</v>
      </c>
    </row>
    <row r="15" spans="1:4" ht="13.5" thickBot="1">
      <c r="A15" s="287">
        <v>7</v>
      </c>
      <c r="B15" s="288" t="s">
        <v>421</v>
      </c>
      <c r="C15" s="289">
        <f>SUM(C10:C14)</f>
        <v>58091771.125522181</v>
      </c>
    </row>
    <row r="16" spans="1:4" ht="13.5" thickBot="1">
      <c r="A16" s="287">
        <v>8</v>
      </c>
      <c r="B16" s="290" t="s">
        <v>422</v>
      </c>
      <c r="C16" s="289">
        <f>+C9-C15</f>
        <v>26398988.79447782</v>
      </c>
    </row>
    <row r="17" spans="1:3" ht="13.5" thickBot="1">
      <c r="A17" s="284">
        <v>9</v>
      </c>
      <c r="B17" s="285" t="s">
        <v>423</v>
      </c>
      <c r="C17" s="291">
        <v>0</v>
      </c>
    </row>
    <row r="18" spans="1:3" ht="13.5" thickBot="1">
      <c r="A18" s="287">
        <v>10</v>
      </c>
      <c r="B18" s="288" t="s">
        <v>424</v>
      </c>
      <c r="C18" s="289">
        <f>+C17+C16</f>
        <v>26398988.79447782</v>
      </c>
    </row>
    <row r="19" spans="1:3">
      <c r="A19" s="277">
        <v>11</v>
      </c>
      <c r="B19" s="278" t="s">
        <v>425</v>
      </c>
      <c r="C19" s="279">
        <f>'EIA 412 Sch 3 Total Utility'!C19</f>
        <v>135919</v>
      </c>
    </row>
    <row r="20" spans="1:3">
      <c r="A20" s="277">
        <v>12</v>
      </c>
      <c r="B20" s="278" t="s">
        <v>426</v>
      </c>
      <c r="C20" s="279">
        <f>'EIA 412 Sch 3 Total Utility'!C20</f>
        <v>2942855</v>
      </c>
    </row>
    <row r="21" spans="1:3">
      <c r="A21" s="277">
        <v>13</v>
      </c>
      <c r="B21" s="278" t="s">
        <v>427</v>
      </c>
      <c r="C21" s="283">
        <v>0</v>
      </c>
    </row>
    <row r="22" spans="1:3" ht="13.5" thickBot="1">
      <c r="A22" s="284">
        <v>14</v>
      </c>
      <c r="B22" s="285" t="s">
        <v>428</v>
      </c>
      <c r="C22" s="291">
        <f>'EIA 412 Sch 3 Total Utility'!C22*'WP - Allocation Factors'!$E$12</f>
        <v>0</v>
      </c>
    </row>
    <row r="23" spans="1:3" ht="13.5" thickBot="1">
      <c r="A23" s="287">
        <v>15</v>
      </c>
      <c r="B23" s="288" t="s">
        <v>429</v>
      </c>
      <c r="C23" s="289">
        <f>+C18+C19-C20-C21-C22</f>
        <v>23592052.79447782</v>
      </c>
    </row>
    <row r="24" spans="1:3">
      <c r="A24" s="277">
        <v>16</v>
      </c>
      <c r="B24" s="278" t="s">
        <v>430</v>
      </c>
      <c r="C24" s="279">
        <f>'EIA 412 Sch 3 Total Utility'!C24*'WP - Allocation Factors'!$E$12</f>
        <v>1912861.0334925365</v>
      </c>
    </row>
    <row r="25" spans="1:3">
      <c r="A25" s="277">
        <v>17</v>
      </c>
      <c r="B25" s="278" t="s">
        <v>431</v>
      </c>
      <c r="C25" s="283">
        <v>0</v>
      </c>
    </row>
    <row r="26" spans="1:3" ht="13.5" thickBot="1">
      <c r="A26" s="284">
        <v>18</v>
      </c>
      <c r="B26" s="285" t="s">
        <v>432</v>
      </c>
      <c r="C26" s="291">
        <v>0</v>
      </c>
    </row>
    <row r="27" spans="1:3" ht="13.5" thickBot="1">
      <c r="A27" s="287">
        <v>19</v>
      </c>
      <c r="B27" s="288" t="s">
        <v>433</v>
      </c>
      <c r="C27" s="289">
        <f>SUM(C24:C26)</f>
        <v>1912861.0334925365</v>
      </c>
    </row>
    <row r="28" spans="1:3" ht="13.5" thickBot="1">
      <c r="A28" s="287">
        <v>20</v>
      </c>
      <c r="B28" s="288" t="s">
        <v>434</v>
      </c>
      <c r="C28" s="289">
        <f>+C23-C27</f>
        <v>21679191.760985285</v>
      </c>
    </row>
    <row r="29" spans="1:3">
      <c r="A29" s="277">
        <v>21</v>
      </c>
      <c r="B29" s="278" t="s">
        <v>435</v>
      </c>
      <c r="C29" s="283">
        <v>0</v>
      </c>
    </row>
    <row r="30" spans="1:3" ht="13.5" thickBot="1">
      <c r="A30" s="284">
        <v>22</v>
      </c>
      <c r="B30" s="285" t="s">
        <v>436</v>
      </c>
      <c r="C30" s="291">
        <v>0</v>
      </c>
    </row>
    <row r="31" spans="1:3" ht="13.5" thickBot="1">
      <c r="A31" s="287">
        <v>23</v>
      </c>
      <c r="B31" s="290" t="s">
        <v>437</v>
      </c>
      <c r="C31" s="292">
        <f>SUM(C28:C30)</f>
        <v>21679191.760985285</v>
      </c>
    </row>
    <row r="32" spans="1:3">
      <c r="C32" s="236"/>
    </row>
    <row r="33" spans="2:3">
      <c r="C33" s="236"/>
    </row>
    <row r="34" spans="2:3">
      <c r="B34" s="293"/>
      <c r="C34" s="236"/>
    </row>
    <row r="35" spans="2:3">
      <c r="B35" s="294"/>
      <c r="C35" s="236"/>
    </row>
    <row r="36" spans="2:3">
      <c r="C36" s="236"/>
    </row>
    <row r="37" spans="2:3">
      <c r="C37" s="236"/>
    </row>
    <row r="38" spans="2:3">
      <c r="C38" s="236"/>
    </row>
    <row r="39" spans="2:3">
      <c r="C39" s="236"/>
    </row>
    <row r="40" spans="2:3">
      <c r="C40" s="236"/>
    </row>
    <row r="41" spans="2:3">
      <c r="C41" s="236"/>
    </row>
    <row r="42" spans="2:3">
      <c r="C42" s="236"/>
    </row>
    <row r="43" spans="2:3">
      <c r="C43" s="236"/>
    </row>
    <row r="44" spans="2:3">
      <c r="C44" s="236"/>
    </row>
    <row r="45" spans="2:3">
      <c r="C45" s="236"/>
    </row>
    <row r="46" spans="2:3">
      <c r="C46" s="236"/>
    </row>
    <row r="47" spans="2:3">
      <c r="C47" s="236"/>
    </row>
    <row r="48" spans="2:3">
      <c r="C48" s="236"/>
    </row>
    <row r="49" spans="3:3">
      <c r="C49" s="236"/>
    </row>
    <row r="50" spans="3:3">
      <c r="C50" s="236"/>
    </row>
    <row r="51" spans="3:3">
      <c r="C51" s="236"/>
    </row>
    <row r="52" spans="3:3">
      <c r="C52" s="236"/>
    </row>
    <row r="53" spans="3:3">
      <c r="C53" s="236"/>
    </row>
  </sheetData>
  <mergeCells count="1">
    <mergeCell ref="A6:C6"/>
  </mergeCells>
  <printOptions horizontalCentered="1"/>
  <pageMargins left="0.7" right="0.7" top="0.75" bottom="0.75" header="0.3" footer="0.3"/>
  <pageSetup scale="97" orientation="portrait" r:id="rId1"/>
  <headerFooter>
    <oddFooter>&amp;L&amp;10&amp;F&amp;R&amp;10&amp;F
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53"/>
  <sheetViews>
    <sheetView zoomScale="85" zoomScaleNormal="85" workbookViewId="0">
      <selection activeCell="M264" sqref="M264"/>
    </sheetView>
  </sheetViews>
  <sheetFormatPr defaultColWidth="8.88671875" defaultRowHeight="12.75"/>
  <cols>
    <col min="1" max="1" width="5.21875" style="266" customWidth="1"/>
    <col min="2" max="2" width="60" style="266" customWidth="1"/>
    <col min="3" max="3" width="13" style="266" customWidth="1"/>
    <col min="4" max="4" width="2.21875" style="266" customWidth="1"/>
    <col min="5" max="5" width="7.109375" style="266" customWidth="1"/>
    <col min="6" max="16384" width="8.88671875" style="266"/>
  </cols>
  <sheetData>
    <row r="1" spans="1:4">
      <c r="A1" s="264" t="s">
        <v>319</v>
      </c>
      <c r="B1" s="264"/>
      <c r="C1" s="264"/>
      <c r="D1" s="265"/>
    </row>
    <row r="2" spans="1:4">
      <c r="A2" s="267" t="s">
        <v>320</v>
      </c>
      <c r="B2" s="267"/>
      <c r="C2" s="267"/>
      <c r="D2" s="265"/>
    </row>
    <row r="3" spans="1:4">
      <c r="A3" s="267" t="s">
        <v>413</v>
      </c>
      <c r="B3" s="267"/>
      <c r="C3" s="267"/>
      <c r="D3" s="265"/>
    </row>
    <row r="4" spans="1:4">
      <c r="A4" s="268" t="str">
        <f>'EIA 412 Sch 2 Electric'!A4:F4</f>
        <v>Fiscal Year Ending April 30, 2016</v>
      </c>
      <c r="B4" s="268"/>
      <c r="C4" s="268"/>
      <c r="D4" s="269"/>
    </row>
    <row r="5" spans="1:4">
      <c r="A5" s="265"/>
      <c r="B5" s="265"/>
      <c r="C5" s="265"/>
      <c r="D5" s="265"/>
    </row>
    <row r="6" spans="1:4" ht="13.5" thickBot="1">
      <c r="A6" s="591" t="s">
        <v>438</v>
      </c>
      <c r="B6" s="591"/>
      <c r="C6" s="591"/>
      <c r="D6" s="270"/>
    </row>
    <row r="7" spans="1:4">
      <c r="A7" s="271" t="s">
        <v>4</v>
      </c>
      <c r="B7" s="272"/>
      <c r="C7" s="273" t="s">
        <v>7</v>
      </c>
    </row>
    <row r="8" spans="1:4">
      <c r="A8" s="274" t="s">
        <v>6</v>
      </c>
      <c r="B8" s="275"/>
      <c r="C8" s="276" t="s">
        <v>325</v>
      </c>
    </row>
    <row r="9" spans="1:4">
      <c r="A9" s="277">
        <v>1</v>
      </c>
      <c r="B9" s="278" t="s">
        <v>415</v>
      </c>
      <c r="C9" s="543">
        <v>106217956</v>
      </c>
    </row>
    <row r="10" spans="1:4">
      <c r="A10" s="277">
        <v>2</v>
      </c>
      <c r="B10" s="278" t="s">
        <v>416</v>
      </c>
      <c r="C10" s="283">
        <v>37587636</v>
      </c>
    </row>
    <row r="11" spans="1:4">
      <c r="A11" s="277">
        <v>3</v>
      </c>
      <c r="B11" s="278" t="s">
        <v>417</v>
      </c>
      <c r="C11" s="283">
        <f>14327000+2480063+1800983+5150864+533289+1828054+1411+1275000</f>
        <v>27396664</v>
      </c>
    </row>
    <row r="12" spans="1:4">
      <c r="A12" s="280">
        <v>4</v>
      </c>
      <c r="B12" s="281" t="s">
        <v>418</v>
      </c>
      <c r="C12" s="544">
        <v>7823544</v>
      </c>
    </row>
    <row r="13" spans="1:4">
      <c r="A13" s="277">
        <v>5</v>
      </c>
      <c r="B13" s="278" t="s">
        <v>419</v>
      </c>
      <c r="C13" s="283">
        <v>0</v>
      </c>
    </row>
    <row r="14" spans="1:4" ht="13.5" thickBot="1">
      <c r="A14" s="284">
        <v>6</v>
      </c>
      <c r="B14" s="285" t="s">
        <v>420</v>
      </c>
      <c r="C14" s="291">
        <f>11025841-154878-92028</f>
        <v>10778935</v>
      </c>
    </row>
    <row r="15" spans="1:4" ht="13.5" thickBot="1">
      <c r="A15" s="287">
        <v>7</v>
      </c>
      <c r="B15" s="288" t="s">
        <v>421</v>
      </c>
      <c r="C15" s="289">
        <f>SUM(C10:C14)</f>
        <v>83586779</v>
      </c>
    </row>
    <row r="16" spans="1:4" ht="13.5" thickBot="1">
      <c r="A16" s="287">
        <v>8</v>
      </c>
      <c r="B16" s="290" t="s">
        <v>422</v>
      </c>
      <c r="C16" s="289">
        <f>+C9-C15</f>
        <v>22631177</v>
      </c>
    </row>
    <row r="17" spans="1:3" ht="13.5" thickBot="1">
      <c r="A17" s="284">
        <v>9</v>
      </c>
      <c r="B17" s="285" t="s">
        <v>423</v>
      </c>
      <c r="C17" s="291">
        <v>0</v>
      </c>
    </row>
    <row r="18" spans="1:3" ht="13.5" thickBot="1">
      <c r="A18" s="287">
        <v>10</v>
      </c>
      <c r="B18" s="288" t="s">
        <v>424</v>
      </c>
      <c r="C18" s="289">
        <f>+C17+C16</f>
        <v>22631177</v>
      </c>
    </row>
    <row r="19" spans="1:3">
      <c r="A19" s="277">
        <v>11</v>
      </c>
      <c r="B19" s="278" t="s">
        <v>425</v>
      </c>
      <c r="C19" s="283">
        <f>135919+0</f>
        <v>135919</v>
      </c>
    </row>
    <row r="20" spans="1:3">
      <c r="A20" s="277">
        <v>12</v>
      </c>
      <c r="B20" s="278" t="s">
        <v>426</v>
      </c>
      <c r="C20" s="283">
        <v>2942855</v>
      </c>
    </row>
    <row r="21" spans="1:3">
      <c r="A21" s="277">
        <v>13</v>
      </c>
      <c r="B21" s="278" t="s">
        <v>427</v>
      </c>
      <c r="C21" s="283">
        <v>0</v>
      </c>
    </row>
    <row r="22" spans="1:3" ht="13.5" thickBot="1">
      <c r="A22" s="284">
        <v>14</v>
      </c>
      <c r="B22" s="285" t="s">
        <v>428</v>
      </c>
      <c r="C22" s="291">
        <v>0</v>
      </c>
    </row>
    <row r="23" spans="1:3" ht="13.5" thickBot="1">
      <c r="A23" s="287">
        <v>15</v>
      </c>
      <c r="B23" s="288" t="s">
        <v>429</v>
      </c>
      <c r="C23" s="289">
        <f>+C18+C19-C20-C21-C22</f>
        <v>19824241</v>
      </c>
    </row>
    <row r="24" spans="1:3">
      <c r="A24" s="277">
        <v>16</v>
      </c>
      <c r="B24" s="278" t="s">
        <v>430</v>
      </c>
      <c r="C24" s="283">
        <v>3505950</v>
      </c>
    </row>
    <row r="25" spans="1:3">
      <c r="A25" s="277">
        <v>17</v>
      </c>
      <c r="B25" s="278" t="s">
        <v>431</v>
      </c>
      <c r="C25" s="283">
        <v>0</v>
      </c>
    </row>
    <row r="26" spans="1:3" ht="13.5" thickBot="1">
      <c r="A26" s="284">
        <v>18</v>
      </c>
      <c r="B26" s="285" t="s">
        <v>432</v>
      </c>
      <c r="C26" s="291">
        <v>0</v>
      </c>
    </row>
    <row r="27" spans="1:3" ht="13.5" thickBot="1">
      <c r="A27" s="287">
        <v>19</v>
      </c>
      <c r="B27" s="288" t="s">
        <v>433</v>
      </c>
      <c r="C27" s="289">
        <f>SUM(C24:C26)</f>
        <v>3505950</v>
      </c>
    </row>
    <row r="28" spans="1:3" ht="13.5" thickBot="1">
      <c r="A28" s="287">
        <v>20</v>
      </c>
      <c r="B28" s="288" t="s">
        <v>434</v>
      </c>
      <c r="C28" s="289">
        <f>+C23-C27</f>
        <v>16318291</v>
      </c>
    </row>
    <row r="29" spans="1:3">
      <c r="A29" s="277">
        <v>21</v>
      </c>
      <c r="B29" s="278" t="s">
        <v>435</v>
      </c>
      <c r="C29" s="283">
        <v>0</v>
      </c>
    </row>
    <row r="30" spans="1:3" ht="13.5" thickBot="1">
      <c r="A30" s="284">
        <v>22</v>
      </c>
      <c r="B30" s="285" t="s">
        <v>436</v>
      </c>
      <c r="C30" s="291">
        <v>0</v>
      </c>
    </row>
    <row r="31" spans="1:3" ht="13.5" thickBot="1">
      <c r="A31" s="287">
        <v>23</v>
      </c>
      <c r="B31" s="290" t="s">
        <v>437</v>
      </c>
      <c r="C31" s="292">
        <f>SUM(C28:C30)</f>
        <v>16318291</v>
      </c>
    </row>
    <row r="32" spans="1:3">
      <c r="C32" s="236"/>
    </row>
    <row r="33" spans="2:3">
      <c r="C33" s="236"/>
    </row>
    <row r="34" spans="2:3">
      <c r="B34" s="293"/>
      <c r="C34" s="236"/>
    </row>
    <row r="35" spans="2:3">
      <c r="B35" s="294"/>
      <c r="C35" s="236"/>
    </row>
    <row r="36" spans="2:3">
      <c r="C36" s="236"/>
    </row>
    <row r="37" spans="2:3">
      <c r="C37" s="236"/>
    </row>
    <row r="38" spans="2:3">
      <c r="C38" s="236"/>
    </row>
    <row r="39" spans="2:3">
      <c r="C39" s="236"/>
    </row>
    <row r="40" spans="2:3">
      <c r="C40" s="236"/>
    </row>
    <row r="41" spans="2:3">
      <c r="C41" s="236"/>
    </row>
    <row r="42" spans="2:3">
      <c r="C42" s="236"/>
    </row>
    <row r="43" spans="2:3">
      <c r="C43" s="236"/>
    </row>
    <row r="44" spans="2:3">
      <c r="C44" s="236"/>
    </row>
    <row r="45" spans="2:3">
      <c r="C45" s="236"/>
    </row>
    <row r="46" spans="2:3">
      <c r="C46" s="236"/>
    </row>
    <row r="47" spans="2:3">
      <c r="C47" s="236"/>
    </row>
    <row r="48" spans="2:3">
      <c r="C48" s="236"/>
    </row>
    <row r="49" spans="3:3">
      <c r="C49" s="236"/>
    </row>
    <row r="50" spans="3:3">
      <c r="C50" s="236"/>
    </row>
    <row r="51" spans="3:3">
      <c r="C51" s="236"/>
    </row>
    <row r="52" spans="3:3">
      <c r="C52" s="236"/>
    </row>
    <row r="53" spans="3:3">
      <c r="C53" s="236"/>
    </row>
  </sheetData>
  <mergeCells count="1">
    <mergeCell ref="A6:C6"/>
  </mergeCells>
  <printOptions horizontalCentered="1"/>
  <pageMargins left="0.7" right="0.7" top="0.75" bottom="0.75" header="0.3" footer="0.3"/>
  <pageSetup scale="97" orientation="portrait" r:id="rId1"/>
  <headerFooter>
    <oddFooter>&amp;L&amp;10&amp;F&amp;R&amp;10&amp;F
Page &amp;P of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3"/>
  <sheetViews>
    <sheetView zoomScale="70" zoomScaleNormal="70" workbookViewId="0">
      <selection activeCell="M264" sqref="M264"/>
    </sheetView>
  </sheetViews>
  <sheetFormatPr defaultColWidth="8.88671875" defaultRowHeight="12.75"/>
  <cols>
    <col min="1" max="1" width="5.21875" style="142" customWidth="1"/>
    <col min="2" max="2" width="33" style="142" bestFit="1" customWidth="1"/>
    <col min="3" max="6" width="12.21875" style="145" customWidth="1"/>
    <col min="7" max="7" width="12.88671875" style="145" customWidth="1"/>
    <col min="8" max="8" width="9.44140625" style="142" bestFit="1" customWidth="1"/>
    <col min="9" max="9" width="14" style="142" bestFit="1" customWidth="1"/>
    <col min="10" max="16384" width="8.88671875" style="142"/>
  </cols>
  <sheetData>
    <row r="1" spans="1:9" s="143" customFormat="1">
      <c r="A1" s="295" t="s">
        <v>319</v>
      </c>
      <c r="B1" s="295"/>
      <c r="C1" s="295"/>
      <c r="D1" s="295"/>
      <c r="E1" s="295"/>
      <c r="F1" s="295"/>
      <c r="G1" s="295"/>
      <c r="H1" s="296" t="s">
        <v>92</v>
      </c>
      <c r="I1" s="296"/>
    </row>
    <row r="2" spans="1:9" s="143" customFormat="1">
      <c r="A2" s="296" t="s">
        <v>320</v>
      </c>
      <c r="B2" s="296"/>
      <c r="C2" s="296"/>
      <c r="D2" s="296"/>
      <c r="E2" s="296"/>
      <c r="F2" s="296"/>
      <c r="G2" s="296"/>
      <c r="H2" s="296" t="s">
        <v>2</v>
      </c>
      <c r="I2" s="296"/>
    </row>
    <row r="3" spans="1:9" s="143" customFormat="1">
      <c r="A3" s="296" t="s">
        <v>439</v>
      </c>
      <c r="B3" s="296"/>
      <c r="C3" s="296"/>
      <c r="D3" s="296"/>
      <c r="E3" s="296"/>
      <c r="F3" s="296"/>
      <c r="G3" s="296"/>
      <c r="H3" s="296" t="s">
        <v>92</v>
      </c>
      <c r="I3" s="296"/>
    </row>
    <row r="4" spans="1:9" s="143" customFormat="1">
      <c r="A4" s="144" t="str">
        <f>'EIA 412 Sch 2 Electric'!A4:F4</f>
        <v>Fiscal Year Ending April 30, 2016</v>
      </c>
      <c r="B4" s="144"/>
      <c r="C4" s="144"/>
      <c r="D4" s="144"/>
      <c r="E4" s="144"/>
      <c r="F4" s="144"/>
      <c r="G4" s="144"/>
      <c r="H4" s="296" t="s">
        <v>2</v>
      </c>
      <c r="I4" s="296"/>
    </row>
    <row r="5" spans="1:9">
      <c r="A5" s="297"/>
      <c r="B5" s="297"/>
      <c r="C5" s="298"/>
      <c r="D5" s="299"/>
      <c r="E5" s="299"/>
      <c r="F5" s="299"/>
      <c r="G5" s="299"/>
      <c r="H5" s="300"/>
      <c r="I5" s="300"/>
    </row>
    <row r="6" spans="1:9" ht="13.5" thickBot="1">
      <c r="A6" s="592" t="s">
        <v>328</v>
      </c>
      <c r="B6" s="592"/>
      <c r="C6" s="592"/>
      <c r="D6" s="592"/>
      <c r="E6" s="592"/>
      <c r="F6" s="592"/>
      <c r="G6" s="592"/>
      <c r="H6" s="300"/>
      <c r="I6" s="300"/>
    </row>
    <row r="7" spans="1:9">
      <c r="A7" s="301"/>
      <c r="B7" s="302"/>
      <c r="C7" s="303" t="s">
        <v>440</v>
      </c>
      <c r="D7" s="303"/>
      <c r="E7" s="303"/>
      <c r="F7" s="303"/>
      <c r="G7" s="273" t="s">
        <v>441</v>
      </c>
      <c r="H7" s="300"/>
      <c r="I7" s="300"/>
    </row>
    <row r="8" spans="1:9">
      <c r="A8" s="304" t="s">
        <v>4</v>
      </c>
      <c r="B8" s="305"/>
      <c r="C8" s="306" t="s">
        <v>442</v>
      </c>
      <c r="D8" s="306" t="s">
        <v>443</v>
      </c>
      <c r="E8" s="306" t="s">
        <v>444</v>
      </c>
      <c r="F8" s="306" t="s">
        <v>445</v>
      </c>
      <c r="G8" s="307" t="s">
        <v>442</v>
      </c>
      <c r="H8" s="300"/>
      <c r="I8" s="308" t="s">
        <v>446</v>
      </c>
    </row>
    <row r="9" spans="1:9">
      <c r="A9" s="309" t="s">
        <v>6</v>
      </c>
      <c r="B9" s="310"/>
      <c r="C9" s="311" t="s">
        <v>447</v>
      </c>
      <c r="D9" s="311" t="s">
        <v>448</v>
      </c>
      <c r="E9" s="311" t="s">
        <v>449</v>
      </c>
      <c r="F9" s="311" t="s">
        <v>450</v>
      </c>
      <c r="G9" s="276" t="s">
        <v>451</v>
      </c>
      <c r="H9" s="300"/>
      <c r="I9" s="308"/>
    </row>
    <row r="10" spans="1:9">
      <c r="A10" s="312">
        <v>1</v>
      </c>
      <c r="B10" s="313" t="s">
        <v>452</v>
      </c>
      <c r="C10" s="314">
        <v>0</v>
      </c>
      <c r="D10" s="315">
        <v>0</v>
      </c>
      <c r="E10" s="315">
        <v>0</v>
      </c>
      <c r="F10" s="315">
        <v>0</v>
      </c>
      <c r="G10" s="316">
        <f t="shared" ref="G10:G18" si="0">+C10+D10-E10-F10</f>
        <v>0</v>
      </c>
      <c r="H10" s="317"/>
      <c r="I10" s="300"/>
    </row>
    <row r="11" spans="1:9">
      <c r="A11" s="312"/>
      <c r="B11" s="313"/>
      <c r="C11" s="318"/>
      <c r="D11" s="318"/>
      <c r="E11" s="318"/>
      <c r="F11" s="318"/>
      <c r="G11" s="316"/>
      <c r="H11" s="300"/>
      <c r="I11" s="300"/>
    </row>
    <row r="12" spans="1:9">
      <c r="A12" s="312">
        <v>2</v>
      </c>
      <c r="B12" s="313" t="s">
        <v>453</v>
      </c>
      <c r="C12" s="212">
        <f>'WP - Plant Functionalization'!B32</f>
        <v>45701329.659999996</v>
      </c>
      <c r="D12" s="212">
        <f>'WP - Plant Functionalization'!B44</f>
        <v>69823721.319999993</v>
      </c>
      <c r="E12" s="256">
        <v>0</v>
      </c>
      <c r="F12" s="256"/>
      <c r="G12" s="319">
        <f t="shared" si="0"/>
        <v>115525050.97999999</v>
      </c>
      <c r="H12" s="300"/>
      <c r="I12" s="300"/>
    </row>
    <row r="13" spans="1:9">
      <c r="A13" s="312">
        <v>3</v>
      </c>
      <c r="B13" s="313" t="s">
        <v>454</v>
      </c>
      <c r="C13" s="256">
        <v>0</v>
      </c>
      <c r="D13" s="256">
        <v>0</v>
      </c>
      <c r="E13" s="256">
        <v>0</v>
      </c>
      <c r="F13" s="256">
        <v>0</v>
      </c>
      <c r="G13" s="319">
        <f t="shared" si="0"/>
        <v>0</v>
      </c>
      <c r="H13" s="300"/>
      <c r="I13" s="320"/>
    </row>
    <row r="14" spans="1:9">
      <c r="A14" s="312">
        <v>4</v>
      </c>
      <c r="B14" s="313" t="s">
        <v>455</v>
      </c>
      <c r="C14" s="256">
        <v>0</v>
      </c>
      <c r="D14" s="256">
        <v>0</v>
      </c>
      <c r="E14" s="256">
        <v>0</v>
      </c>
      <c r="F14" s="256">
        <v>0</v>
      </c>
      <c r="G14" s="319">
        <f t="shared" si="0"/>
        <v>0</v>
      </c>
      <c r="H14" s="300"/>
      <c r="I14" s="320"/>
    </row>
    <row r="15" spans="1:9" ht="13.5" thickBot="1">
      <c r="A15" s="312">
        <v>5</v>
      </c>
      <c r="B15" s="313" t="s">
        <v>456</v>
      </c>
      <c r="C15" s="257">
        <v>0</v>
      </c>
      <c r="D15" s="257">
        <v>0</v>
      </c>
      <c r="E15" s="257">
        <v>0</v>
      </c>
      <c r="F15" s="257"/>
      <c r="G15" s="321">
        <f t="shared" si="0"/>
        <v>0</v>
      </c>
      <c r="H15" s="300"/>
      <c r="I15" s="300"/>
    </row>
    <row r="16" spans="1:9" ht="13.5" thickBot="1">
      <c r="A16" s="312">
        <v>6</v>
      </c>
      <c r="B16" s="322" t="s">
        <v>457</v>
      </c>
      <c r="C16" s="323">
        <f>SUM(C12:C15)</f>
        <v>45701329.659999996</v>
      </c>
      <c r="D16" s="323">
        <f>SUM(D12:D15)</f>
        <v>69823721.319999993</v>
      </c>
      <c r="E16" s="323">
        <f t="shared" ref="E16:G16" si="1">SUM(E12:E15)</f>
        <v>0</v>
      </c>
      <c r="F16" s="323">
        <f t="shared" si="1"/>
        <v>0</v>
      </c>
      <c r="G16" s="227">
        <f t="shared" si="1"/>
        <v>115525050.97999999</v>
      </c>
      <c r="H16" s="300"/>
      <c r="I16" s="324">
        <f>G16-'WP - Plant Functionalization'!B20</f>
        <v>0</v>
      </c>
    </row>
    <row r="17" spans="1:9">
      <c r="A17" s="312"/>
      <c r="B17" s="325"/>
      <c r="C17" s="326"/>
      <c r="D17" s="326"/>
      <c r="E17" s="326"/>
      <c r="F17" s="326"/>
      <c r="G17" s="327"/>
      <c r="H17" s="300"/>
      <c r="I17" s="324"/>
    </row>
    <row r="18" spans="1:9">
      <c r="A18" s="312">
        <v>7</v>
      </c>
      <c r="B18" s="313" t="s">
        <v>458</v>
      </c>
      <c r="C18" s="212">
        <f>'WP - Plant Functionalization'!B33</f>
        <v>17312576.942999996</v>
      </c>
      <c r="D18" s="212">
        <f>'WP - Plant Functionalization'!B45</f>
        <v>575682.3599999994</v>
      </c>
      <c r="E18" s="256">
        <v>0</v>
      </c>
      <c r="F18" s="256">
        <v>0</v>
      </c>
      <c r="G18" s="319">
        <f t="shared" si="0"/>
        <v>17888259.302999996</v>
      </c>
      <c r="H18" s="300"/>
      <c r="I18" s="324">
        <f>G18-'WP - Plant Functionalization'!B21</f>
        <v>0</v>
      </c>
    </row>
    <row r="19" spans="1:9">
      <c r="A19" s="312">
        <v>8</v>
      </c>
      <c r="B19" s="313" t="s">
        <v>459</v>
      </c>
      <c r="C19" s="212">
        <f>'WP - Plant Functionalization'!B34</f>
        <v>59660500.147</v>
      </c>
      <c r="D19" s="212">
        <f>'WP - Plant Functionalization'!B46</f>
        <v>2261937.2400000021</v>
      </c>
      <c r="E19" s="256">
        <v>0</v>
      </c>
      <c r="F19" s="256">
        <v>0</v>
      </c>
      <c r="G19" s="319">
        <f>+C19+D19-E19-F19</f>
        <v>61922437.387000002</v>
      </c>
      <c r="H19" s="300"/>
      <c r="I19" s="324">
        <f>G19-'WP - Plant Functionalization'!B22</f>
        <v>0</v>
      </c>
    </row>
    <row r="20" spans="1:9" ht="13.5" thickBot="1">
      <c r="A20" s="312">
        <v>9</v>
      </c>
      <c r="B20" s="313" t="s">
        <v>460</v>
      </c>
      <c r="C20" s="207">
        <f>'WP - Plant Functionalization'!B35</f>
        <v>4036091.3599999994</v>
      </c>
      <c r="D20" s="207">
        <f>'WP - Plant Functionalization'!B47</f>
        <v>187324.70000000112</v>
      </c>
      <c r="E20" s="257">
        <v>0</v>
      </c>
      <c r="F20" s="257">
        <v>0</v>
      </c>
      <c r="G20" s="321">
        <f>+C20+D20-E20-F20</f>
        <v>4223416.0600000005</v>
      </c>
      <c r="H20" s="217"/>
      <c r="I20" s="324">
        <f>G20-'WP - Plant Functionalization'!B23</f>
        <v>0</v>
      </c>
    </row>
    <row r="21" spans="1:9" ht="13.5" thickBot="1">
      <c r="A21" s="312">
        <v>10</v>
      </c>
      <c r="B21" s="322" t="s">
        <v>461</v>
      </c>
      <c r="C21" s="323">
        <f>SUM(C16:C20)</f>
        <v>126710498.11</v>
      </c>
      <c r="D21" s="328">
        <f>SUM(D16:D20)</f>
        <v>72848665.61999999</v>
      </c>
      <c r="E21" s="328">
        <f>SUM(E16:E20)</f>
        <v>0</v>
      </c>
      <c r="F21" s="328">
        <f>SUM(F16:F20)</f>
        <v>0</v>
      </c>
      <c r="G21" s="292">
        <f>+C21+D21-E21-F21</f>
        <v>199559163.72999999</v>
      </c>
      <c r="H21" s="300"/>
      <c r="I21" s="324">
        <f>G21-'WP - Plant Functionalization'!B24</f>
        <v>0</v>
      </c>
    </row>
    <row r="22" spans="1:9">
      <c r="A22" s="312"/>
      <c r="B22" s="325"/>
      <c r="C22" s="326"/>
      <c r="D22" s="326"/>
      <c r="E22" s="326"/>
      <c r="F22" s="326"/>
      <c r="G22" s="327"/>
      <c r="H22" s="300"/>
    </row>
    <row r="23" spans="1:9">
      <c r="A23" s="312">
        <v>11</v>
      </c>
      <c r="B23" s="313" t="s">
        <v>462</v>
      </c>
      <c r="C23" s="256">
        <v>0</v>
      </c>
      <c r="D23" s="256">
        <v>0</v>
      </c>
      <c r="E23" s="256">
        <v>0</v>
      </c>
      <c r="F23" s="256">
        <v>0</v>
      </c>
      <c r="G23" s="254">
        <f>+C23+D23+E23+F23</f>
        <v>0</v>
      </c>
      <c r="H23" s="300"/>
    </row>
    <row r="24" spans="1:9">
      <c r="A24" s="312">
        <v>12</v>
      </c>
      <c r="B24" s="313" t="s">
        <v>463</v>
      </c>
      <c r="C24" s="256">
        <v>0</v>
      </c>
      <c r="D24" s="256">
        <v>0</v>
      </c>
      <c r="E24" s="256">
        <v>0</v>
      </c>
      <c r="F24" s="256">
        <v>0</v>
      </c>
      <c r="G24" s="254">
        <f>+C24+D24+E24+F24</f>
        <v>0</v>
      </c>
      <c r="H24" s="300"/>
    </row>
    <row r="25" spans="1:9" ht="13.5" thickBot="1">
      <c r="A25" s="312">
        <v>13</v>
      </c>
      <c r="B25" s="313" t="s">
        <v>464</v>
      </c>
      <c r="C25" s="257">
        <v>0</v>
      </c>
      <c r="D25" s="257">
        <v>0</v>
      </c>
      <c r="E25" s="257">
        <v>0</v>
      </c>
      <c r="F25" s="257">
        <v>0</v>
      </c>
      <c r="G25" s="255">
        <f>+C25+D25+E25+F25</f>
        <v>0</v>
      </c>
      <c r="H25" s="300"/>
    </row>
    <row r="26" spans="1:9" ht="13.5" thickBot="1">
      <c r="A26" s="312">
        <v>14</v>
      </c>
      <c r="B26" s="322" t="s">
        <v>330</v>
      </c>
      <c r="C26" s="323">
        <f>SUM(C21:C25)</f>
        <v>126710498.11</v>
      </c>
      <c r="D26" s="328">
        <f>SUM(D21:D25)</f>
        <v>72848665.61999999</v>
      </c>
      <c r="E26" s="328">
        <f>SUM(E21:E25)</f>
        <v>0</v>
      </c>
      <c r="F26" s="328">
        <f>SUM(F21:F25)</f>
        <v>0</v>
      </c>
      <c r="G26" s="292">
        <f>+C26+D26-E26+F26</f>
        <v>199559163.72999999</v>
      </c>
      <c r="H26" s="300"/>
    </row>
    <row r="27" spans="1:9">
      <c r="A27" s="312"/>
      <c r="B27" s="325"/>
      <c r="C27" s="329"/>
      <c r="D27" s="329"/>
      <c r="E27" s="329"/>
      <c r="F27" s="329"/>
      <c r="G27" s="330"/>
      <c r="H27" s="300"/>
    </row>
    <row r="28" spans="1:9" ht="13.5" thickBot="1">
      <c r="A28" s="312">
        <v>15</v>
      </c>
      <c r="B28" s="331" t="s">
        <v>465</v>
      </c>
      <c r="C28" s="257">
        <v>0</v>
      </c>
      <c r="D28" s="257">
        <v>0</v>
      </c>
      <c r="E28" s="257">
        <v>0</v>
      </c>
      <c r="F28" s="257">
        <v>0</v>
      </c>
      <c r="G28" s="321">
        <f>+C28+D28-E28-F28</f>
        <v>0</v>
      </c>
      <c r="H28" s="317"/>
    </row>
    <row r="29" spans="1:9" ht="13.5" thickBot="1">
      <c r="A29" s="332">
        <v>16</v>
      </c>
      <c r="B29" s="333" t="s">
        <v>466</v>
      </c>
      <c r="C29" s="323">
        <f>SUM(C26:C28)</f>
        <v>126710498.11</v>
      </c>
      <c r="D29" s="328">
        <f>SUM(D26:D28)</f>
        <v>72848665.61999999</v>
      </c>
      <c r="E29" s="328">
        <f>SUM(E26:E28)</f>
        <v>0</v>
      </c>
      <c r="F29" s="328">
        <f>SUM(F26:F28)</f>
        <v>0</v>
      </c>
      <c r="G29" s="292">
        <f>+C29+D29-E29-F29</f>
        <v>199559163.72999999</v>
      </c>
      <c r="H29" s="300"/>
    </row>
    <row r="30" spans="1:9">
      <c r="A30" s="300"/>
      <c r="B30" s="300"/>
      <c r="C30" s="299"/>
      <c r="D30" s="299"/>
      <c r="E30" s="299"/>
      <c r="F30" s="299"/>
      <c r="G30" s="334" t="s">
        <v>2</v>
      </c>
      <c r="H30" s="300"/>
    </row>
    <row r="32" spans="1:9">
      <c r="A32" s="300"/>
      <c r="B32" s="300"/>
      <c r="C32" s="335"/>
      <c r="D32" s="299"/>
      <c r="E32" s="299"/>
      <c r="F32" s="299"/>
      <c r="G32" s="334"/>
      <c r="H32" s="300"/>
    </row>
    <row r="33" spans="1:8">
      <c r="A33" s="300"/>
      <c r="B33" s="300"/>
      <c r="C33" s="299"/>
      <c r="D33" s="299"/>
      <c r="E33" s="299"/>
      <c r="F33" s="299"/>
      <c r="G33" s="334" t="s">
        <v>2</v>
      </c>
      <c r="H33" s="300"/>
    </row>
  </sheetData>
  <mergeCells count="1">
    <mergeCell ref="A6:G6"/>
  </mergeCells>
  <printOptions horizontalCentered="1"/>
  <pageMargins left="0.7" right="0.7" top="0.75" bottom="0.75" header="0.3" footer="0.3"/>
  <pageSetup scale="76" orientation="portrait" r:id="rId1"/>
  <headerFooter>
    <oddFooter>&amp;L&amp;10&amp;F&amp;R&amp;10&amp;A
Page &amp;P of &amp;N</oddFooter>
  </headerFooter>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2"/>
  <sheetViews>
    <sheetView zoomScale="70" zoomScaleNormal="70" workbookViewId="0">
      <selection activeCell="M264" sqref="M264"/>
    </sheetView>
  </sheetViews>
  <sheetFormatPr defaultColWidth="8.88671875" defaultRowHeight="12.75"/>
  <cols>
    <col min="1" max="1" width="5.21875" style="266" customWidth="1"/>
    <col min="2" max="2" width="24" style="266" customWidth="1"/>
    <col min="3" max="3" width="14.33203125" style="266" customWidth="1"/>
    <col min="4" max="6" width="12.21875" style="266" customWidth="1"/>
    <col min="7" max="7" width="8.88671875" style="266"/>
    <col min="8" max="8" width="8.77734375" style="266" bestFit="1" customWidth="1"/>
    <col min="9" max="16384" width="8.88671875" style="266"/>
  </cols>
  <sheetData>
    <row r="1" spans="1:7">
      <c r="A1" s="264" t="s">
        <v>319</v>
      </c>
      <c r="B1" s="264"/>
      <c r="C1" s="264"/>
      <c r="D1" s="264"/>
      <c r="E1" s="264"/>
      <c r="F1" s="264"/>
      <c r="G1" s="308"/>
    </row>
    <row r="2" spans="1:7">
      <c r="A2" s="267" t="s">
        <v>320</v>
      </c>
      <c r="B2" s="267"/>
      <c r="C2" s="267"/>
      <c r="D2" s="267"/>
      <c r="E2" s="267"/>
      <c r="F2" s="267"/>
      <c r="G2" s="308"/>
    </row>
    <row r="3" spans="1:7">
      <c r="A3" s="267" t="s">
        <v>467</v>
      </c>
      <c r="B3" s="267"/>
      <c r="C3" s="267"/>
      <c r="D3" s="267"/>
      <c r="E3" s="267"/>
      <c r="F3" s="267"/>
      <c r="G3" s="308"/>
    </row>
    <row r="4" spans="1:7">
      <c r="A4" s="264" t="str">
        <f>'EIA 412 Sch 2 Electric'!A4:F4</f>
        <v>Fiscal Year Ending April 30, 2016</v>
      </c>
      <c r="B4" s="268"/>
      <c r="C4" s="268"/>
      <c r="D4" s="268"/>
      <c r="E4" s="268"/>
      <c r="F4" s="268"/>
      <c r="G4" s="336"/>
    </row>
    <row r="6" spans="1:7" ht="13.5" thickBot="1">
      <c r="A6" s="591" t="s">
        <v>468</v>
      </c>
      <c r="B6" s="591"/>
      <c r="C6" s="591"/>
      <c r="D6" s="591"/>
      <c r="E6" s="591"/>
      <c r="F6" s="591"/>
    </row>
    <row r="7" spans="1:7" s="338" customFormat="1">
      <c r="A7" s="337" t="s">
        <v>4</v>
      </c>
      <c r="B7" s="303"/>
      <c r="C7" s="303" t="s">
        <v>469</v>
      </c>
      <c r="D7" s="303" t="s">
        <v>470</v>
      </c>
      <c r="E7" s="303" t="s">
        <v>471</v>
      </c>
      <c r="F7" s="273" t="s">
        <v>9</v>
      </c>
    </row>
    <row r="8" spans="1:7" s="338" customFormat="1">
      <c r="A8" s="339" t="s">
        <v>326</v>
      </c>
      <c r="B8" s="311"/>
      <c r="C8" s="340" t="s">
        <v>447</v>
      </c>
      <c r="D8" s="341" t="s">
        <v>448</v>
      </c>
      <c r="E8" s="341" t="s">
        <v>449</v>
      </c>
      <c r="F8" s="342" t="s">
        <v>450</v>
      </c>
    </row>
    <row r="9" spans="1:7">
      <c r="A9" s="284">
        <v>1</v>
      </c>
      <c r="B9" s="266" t="s">
        <v>472</v>
      </c>
      <c r="C9" s="343"/>
      <c r="D9" s="344"/>
      <c r="E9" s="344"/>
      <c r="F9" s="345"/>
    </row>
    <row r="10" spans="1:7">
      <c r="A10" s="277"/>
      <c r="B10" s="346" t="s">
        <v>473</v>
      </c>
      <c r="C10" s="169">
        <f>'WP - O&amp;M Expenses'!T119</f>
        <v>0</v>
      </c>
      <c r="D10" s="347">
        <f>'WP - O&amp;M Expenses'!P127</f>
        <v>1291133.2100000002</v>
      </c>
      <c r="E10" s="347">
        <f>'WP - O&amp;M Expenses'!Q127</f>
        <v>668703.75000000012</v>
      </c>
      <c r="F10" s="348">
        <f>SUM(C10:E10)</f>
        <v>1959836.9600000004</v>
      </c>
    </row>
    <row r="11" spans="1:7">
      <c r="A11" s="277">
        <v>2</v>
      </c>
      <c r="B11" s="346" t="s">
        <v>474</v>
      </c>
      <c r="C11" s="189">
        <v>0</v>
      </c>
      <c r="D11" s="349">
        <v>0</v>
      </c>
      <c r="E11" s="349">
        <v>0</v>
      </c>
      <c r="F11" s="279">
        <f>SUM(C11:E11)</f>
        <v>0</v>
      </c>
    </row>
    <row r="12" spans="1:7">
      <c r="A12" s="284">
        <v>3</v>
      </c>
      <c r="B12" s="266" t="s">
        <v>475</v>
      </c>
      <c r="C12" s="221"/>
      <c r="D12" s="350"/>
      <c r="E12" s="350"/>
      <c r="F12" s="286"/>
    </row>
    <row r="13" spans="1:7">
      <c r="A13" s="277"/>
      <c r="B13" s="351" t="s">
        <v>476</v>
      </c>
      <c r="C13" s="189">
        <v>0</v>
      </c>
      <c r="D13" s="349">
        <v>0</v>
      </c>
      <c r="E13" s="349">
        <v>0</v>
      </c>
      <c r="F13" s="279">
        <f>SUM(C13:E13)</f>
        <v>0</v>
      </c>
    </row>
    <row r="14" spans="1:7">
      <c r="A14" s="284">
        <v>4</v>
      </c>
      <c r="B14" s="266" t="s">
        <v>477</v>
      </c>
      <c r="C14" s="221"/>
      <c r="D14" s="350"/>
      <c r="E14" s="350"/>
      <c r="F14" s="286"/>
    </row>
    <row r="15" spans="1:7">
      <c r="A15" s="277"/>
      <c r="B15" s="351" t="s">
        <v>478</v>
      </c>
      <c r="C15" s="189">
        <v>0</v>
      </c>
      <c r="D15" s="349">
        <v>0</v>
      </c>
      <c r="E15" s="349">
        <v>0</v>
      </c>
      <c r="F15" s="279">
        <f>SUM(C15:E15)</f>
        <v>0</v>
      </c>
    </row>
    <row r="16" spans="1:7">
      <c r="A16" s="280">
        <v>5</v>
      </c>
      <c r="B16" s="352" t="s">
        <v>479</v>
      </c>
      <c r="C16" s="169">
        <f>'WP - O&amp;M Expenses'!T127-'WP - O&amp;M Expenses'!T119</f>
        <v>31141724.100000001</v>
      </c>
      <c r="D16" s="353">
        <v>0</v>
      </c>
      <c r="E16" s="353">
        <v>0</v>
      </c>
      <c r="F16" s="348">
        <f>SUM(C16:E16)</f>
        <v>31141724.100000001</v>
      </c>
    </row>
    <row r="17" spans="1:9">
      <c r="A17" s="284">
        <v>6</v>
      </c>
      <c r="B17" s="266" t="s">
        <v>480</v>
      </c>
      <c r="C17" s="221"/>
      <c r="D17" s="350"/>
      <c r="E17" s="350"/>
      <c r="F17" s="286"/>
    </row>
    <row r="18" spans="1:9" ht="13.5" thickBot="1">
      <c r="A18" s="284"/>
      <c r="B18" s="354" t="s">
        <v>481</v>
      </c>
      <c r="C18" s="221">
        <v>0</v>
      </c>
      <c r="D18" s="350">
        <v>0</v>
      </c>
      <c r="E18" s="350">
        <v>0</v>
      </c>
      <c r="F18" s="286">
        <f>SUM(C18:E18)</f>
        <v>0</v>
      </c>
    </row>
    <row r="19" spans="1:9" ht="13.5" thickBot="1">
      <c r="A19" s="287">
        <v>7</v>
      </c>
      <c r="B19" s="355" t="s">
        <v>482</v>
      </c>
      <c r="C19" s="328">
        <f>SUM(C10:C18)</f>
        <v>31141724.100000001</v>
      </c>
      <c r="D19" s="356">
        <f>SUM(D10:D18)</f>
        <v>1291133.2100000002</v>
      </c>
      <c r="E19" s="356">
        <f>SUM(E10:E18)</f>
        <v>668703.75000000012</v>
      </c>
      <c r="F19" s="357">
        <f>SUM(C19:E19)</f>
        <v>33101561.060000002</v>
      </c>
    </row>
    <row r="20" spans="1:9">
      <c r="A20" s="284">
        <v>8</v>
      </c>
      <c r="B20" s="285" t="s">
        <v>483</v>
      </c>
      <c r="C20" s="358"/>
      <c r="D20" s="358"/>
      <c r="E20" s="358"/>
      <c r="F20" s="345"/>
    </row>
    <row r="21" spans="1:9">
      <c r="A21" s="277"/>
      <c r="B21" s="359" t="s">
        <v>484</v>
      </c>
      <c r="C21" s="360">
        <v>0</v>
      </c>
      <c r="D21" s="361">
        <f>'WP - O&amp;M Expenses'!P70</f>
        <v>572856.28750791366</v>
      </c>
      <c r="E21" s="362">
        <f>'WP - O&amp;M Expenses'!Q70</f>
        <v>248786.99898817853</v>
      </c>
      <c r="F21" s="279">
        <f>SUM(D21:E21)</f>
        <v>821643.28649609222</v>
      </c>
      <c r="G21" s="266" t="s">
        <v>2</v>
      </c>
    </row>
    <row r="22" spans="1:9">
      <c r="A22" s="284">
        <v>9</v>
      </c>
      <c r="B22" s="285" t="s">
        <v>485</v>
      </c>
      <c r="C22" s="363"/>
      <c r="D22" s="350"/>
      <c r="E22" s="350"/>
      <c r="F22" s="286"/>
    </row>
    <row r="23" spans="1:9">
      <c r="A23" s="277"/>
      <c r="B23" s="359" t="s">
        <v>486</v>
      </c>
      <c r="C23" s="360">
        <v>0</v>
      </c>
      <c r="D23" s="362">
        <f>'WP - O&amp;M Expenses'!M70</f>
        <v>3117294.082492087</v>
      </c>
      <c r="E23" s="362">
        <f>'WP - O&amp;M Expenses'!N70</f>
        <v>861207.18101182149</v>
      </c>
      <c r="F23" s="279">
        <f>+D23+E23</f>
        <v>3978501.2635039086</v>
      </c>
    </row>
    <row r="24" spans="1:9">
      <c r="A24" s="284">
        <v>10</v>
      </c>
      <c r="B24" s="285" t="s">
        <v>487</v>
      </c>
      <c r="C24" s="363"/>
      <c r="D24" s="350"/>
      <c r="E24" s="350"/>
      <c r="F24" s="286"/>
    </row>
    <row r="25" spans="1:9">
      <c r="A25" s="277"/>
      <c r="B25" s="359" t="s">
        <v>488</v>
      </c>
      <c r="C25" s="360">
        <v>0</v>
      </c>
      <c r="D25" s="360">
        <v>0</v>
      </c>
      <c r="E25" s="349">
        <v>0</v>
      </c>
      <c r="F25" s="279">
        <f>+D25+E25</f>
        <v>0</v>
      </c>
    </row>
    <row r="26" spans="1:9">
      <c r="A26" s="284">
        <v>11</v>
      </c>
      <c r="B26" s="285" t="s">
        <v>489</v>
      </c>
      <c r="C26" s="363"/>
      <c r="D26" s="350"/>
      <c r="E26" s="350"/>
      <c r="F26" s="286"/>
    </row>
    <row r="27" spans="1:9">
      <c r="A27" s="277"/>
      <c r="B27" s="359" t="s">
        <v>490</v>
      </c>
      <c r="C27" s="360">
        <v>0</v>
      </c>
      <c r="D27" s="360">
        <v>0</v>
      </c>
      <c r="E27" s="349">
        <v>0</v>
      </c>
      <c r="F27" s="279">
        <f>+D27+E27</f>
        <v>0</v>
      </c>
    </row>
    <row r="28" spans="1:9">
      <c r="A28" s="280">
        <v>12</v>
      </c>
      <c r="B28" s="281" t="s">
        <v>491</v>
      </c>
      <c r="C28" s="364">
        <v>0</v>
      </c>
      <c r="D28" s="364">
        <v>0</v>
      </c>
      <c r="E28" s="353">
        <v>0</v>
      </c>
      <c r="F28" s="279">
        <f>+D28+E28</f>
        <v>0</v>
      </c>
    </row>
    <row r="29" spans="1:9">
      <c r="A29" s="280">
        <v>13</v>
      </c>
      <c r="B29" s="281" t="s">
        <v>492</v>
      </c>
      <c r="C29" s="364">
        <v>0</v>
      </c>
      <c r="D29" s="365">
        <f>'WP - A&amp;G Expenses'!F26</f>
        <v>8187753.3445437802</v>
      </c>
      <c r="E29" s="353">
        <v>0</v>
      </c>
      <c r="F29" s="279">
        <f>+D29+E29</f>
        <v>8187753.3445437802</v>
      </c>
      <c r="H29" s="366"/>
      <c r="I29" s="366"/>
    </row>
    <row r="30" spans="1:9" ht="13.5" thickBot="1">
      <c r="A30" s="284">
        <v>14</v>
      </c>
      <c r="B30" s="285" t="s">
        <v>493</v>
      </c>
      <c r="C30" s="367"/>
      <c r="D30" s="358"/>
      <c r="E30" s="358"/>
      <c r="F30" s="345"/>
    </row>
    <row r="31" spans="1:9" ht="13.5" thickBot="1">
      <c r="A31" s="368"/>
      <c r="B31" s="369" t="s">
        <v>494</v>
      </c>
      <c r="C31" s="328">
        <f>SUM(C19:C29)</f>
        <v>31141724.100000001</v>
      </c>
      <c r="D31" s="356">
        <f>SUM(D19:D29)</f>
        <v>13169036.924543781</v>
      </c>
      <c r="E31" s="356">
        <f>SUM(E19:E29)</f>
        <v>1778697.9300000002</v>
      </c>
      <c r="F31" s="357">
        <f>SUM(F19:F30)</f>
        <v>46089458.954543784</v>
      </c>
    </row>
    <row r="32" spans="1:9">
      <c r="C32" s="236"/>
      <c r="D32" s="236"/>
      <c r="E32" s="236"/>
      <c r="F32" s="236"/>
    </row>
  </sheetData>
  <mergeCells count="1">
    <mergeCell ref="A6:F6"/>
  </mergeCells>
  <printOptions horizontalCentered="1"/>
  <pageMargins left="0.7" right="0.7" top="0.75" bottom="0.75" header="0.3" footer="0.3"/>
  <pageSetup scale="85" orientation="portrait" r:id="rId1"/>
  <headerFooter>
    <oddFooter>&amp;L&amp;10&amp;F&amp;R&amp;10&amp;A
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8"/>
  <sheetViews>
    <sheetView zoomScaleNormal="100" zoomScaleSheetLayoutView="100" workbookViewId="0">
      <selection activeCell="I22" sqref="I22"/>
    </sheetView>
  </sheetViews>
  <sheetFormatPr defaultColWidth="8.88671875" defaultRowHeight="12.75"/>
  <cols>
    <col min="1" max="1" width="26.33203125" style="371" customWidth="1"/>
    <col min="2" max="2" width="1.77734375" style="371" customWidth="1"/>
    <col min="3" max="3" width="12.33203125" style="371" bestFit="1" customWidth="1"/>
    <col min="4" max="4" width="1.77734375" style="371" customWidth="1"/>
    <col min="5" max="16384" width="8.88671875" style="371"/>
  </cols>
  <sheetData>
    <row r="1" spans="1:5">
      <c r="A1" s="370" t="s">
        <v>495</v>
      </c>
      <c r="B1" s="143"/>
      <c r="C1" s="143"/>
      <c r="D1" s="143"/>
      <c r="E1" s="143"/>
    </row>
    <row r="2" spans="1:5">
      <c r="A2" s="143" t="s">
        <v>496</v>
      </c>
      <c r="B2" s="143"/>
      <c r="C2" s="143"/>
      <c r="D2" s="143"/>
      <c r="E2" s="143"/>
    </row>
    <row r="3" spans="1:5">
      <c r="A3" s="372" t="str">
        <f>'EIA 412 Sch 2 Electric'!A4</f>
        <v>Fiscal Year Ending April 30, 2016</v>
      </c>
      <c r="B3" s="143"/>
      <c r="C3" s="143"/>
      <c r="D3" s="143"/>
      <c r="E3" s="143"/>
    </row>
    <row r="7" spans="1:5">
      <c r="C7" s="373" t="s">
        <v>497</v>
      </c>
      <c r="E7" s="373" t="s">
        <v>111</v>
      </c>
    </row>
    <row r="8" spans="1:5" ht="13.5" thickBot="1">
      <c r="C8" s="374" t="s">
        <v>498</v>
      </c>
      <c r="E8" s="374" t="s">
        <v>499</v>
      </c>
    </row>
    <row r="10" spans="1:5">
      <c r="A10" s="375" t="s">
        <v>500</v>
      </c>
    </row>
    <row r="11" spans="1:5">
      <c r="A11" s="376" t="s">
        <v>501</v>
      </c>
      <c r="C11" s="377">
        <f>'WP - Trial Balance'!G261</f>
        <v>365758118.21000004</v>
      </c>
      <c r="E11" s="378"/>
    </row>
    <row r="12" spans="1:5">
      <c r="A12" s="376" t="s">
        <v>502</v>
      </c>
      <c r="C12" s="377">
        <f>'WP - Trial Balance'!L261</f>
        <v>199559164.28</v>
      </c>
      <c r="E12" s="379">
        <f>C12/C11</f>
        <v>0.54560419672058547</v>
      </c>
    </row>
    <row r="15" spans="1:5">
      <c r="A15" s="375" t="s">
        <v>503</v>
      </c>
      <c r="E15" s="378"/>
    </row>
    <row r="16" spans="1:5">
      <c r="A16" s="376" t="s">
        <v>504</v>
      </c>
      <c r="C16" s="377">
        <f>'WP - Plant Functionalization'!B20</f>
        <v>115525050.97999999</v>
      </c>
      <c r="E16" s="379">
        <f>C16/$C$21</f>
        <v>0.5789012582569415</v>
      </c>
    </row>
    <row r="17" spans="1:5">
      <c r="A17" s="376" t="s">
        <v>45</v>
      </c>
      <c r="C17" s="377">
        <f>'WP - Plant Functionalization'!B21</f>
        <v>17888259.302999996</v>
      </c>
      <c r="E17" s="379">
        <f t="shared" ref="E17:E20" si="0">C17/$C$21</f>
        <v>8.9638876855600041E-2</v>
      </c>
    </row>
    <row r="18" spans="1:5">
      <c r="A18" s="376" t="s">
        <v>505</v>
      </c>
      <c r="C18" s="377">
        <f>'WP - Plant Functionalization'!B22</f>
        <v>61922437.387000002</v>
      </c>
      <c r="E18" s="379">
        <f t="shared" si="0"/>
        <v>0.31029613589070737</v>
      </c>
    </row>
    <row r="19" spans="1:5">
      <c r="A19" s="376" t="s">
        <v>506</v>
      </c>
      <c r="C19" s="377">
        <f>'WP - Plant Functionalization'!B23</f>
        <v>4223416.0600000005</v>
      </c>
      <c r="E19" s="379">
        <f t="shared" si="0"/>
        <v>2.1163728996751098E-2</v>
      </c>
    </row>
    <row r="20" spans="1:5">
      <c r="A20" s="376" t="s">
        <v>507</v>
      </c>
      <c r="C20" s="380">
        <v>0</v>
      </c>
      <c r="E20" s="379">
        <f t="shared" si="0"/>
        <v>0</v>
      </c>
    </row>
    <row r="21" spans="1:5" ht="13.5" thickBot="1">
      <c r="A21" s="381" t="s">
        <v>508</v>
      </c>
      <c r="C21" s="382">
        <f>SUM(C16:C20)</f>
        <v>199559163.72999999</v>
      </c>
      <c r="E21" s="383">
        <f>SUM(E16:E20)</f>
        <v>1</v>
      </c>
    </row>
    <row r="22" spans="1:5" ht="13.5" thickTop="1"/>
    <row r="24" spans="1:5">
      <c r="A24" s="375" t="s">
        <v>509</v>
      </c>
    </row>
    <row r="25" spans="1:5">
      <c r="A25" s="376" t="s">
        <v>45</v>
      </c>
      <c r="C25" s="377">
        <f>'WP - Plant Functionalization'!B21</f>
        <v>17888259.302999996</v>
      </c>
      <c r="E25" s="379">
        <f>C25/$C$27</f>
        <v>0.2241336067079005</v>
      </c>
    </row>
    <row r="26" spans="1:5">
      <c r="A26" s="376" t="s">
        <v>505</v>
      </c>
      <c r="C26" s="377">
        <f>'WP - Plant Functionalization'!B22</f>
        <v>61922437.387000002</v>
      </c>
      <c r="E26" s="379">
        <f>C26/$C$27</f>
        <v>0.7758663932920995</v>
      </c>
    </row>
    <row r="27" spans="1:5" ht="13.5" thickBot="1">
      <c r="A27" s="381" t="s">
        <v>510</v>
      </c>
      <c r="C27" s="384">
        <f>SUM(C25:C26)</f>
        <v>79810696.689999998</v>
      </c>
      <c r="E27" s="383">
        <f>SUM(E25:E26)</f>
        <v>1</v>
      </c>
    </row>
    <row r="28" spans="1:5" ht="13.5" thickTop="1"/>
  </sheetData>
  <printOptions horizontalCentered="1"/>
  <pageMargins left="0.7" right="0.7" top="0.75" bottom="0.75" header="0.3" footer="0.3"/>
  <pageSetup orientation="portrait" r:id="rId1"/>
  <headerFooter>
    <oddFooter>&amp;L&amp;10&amp;F&amp;R&amp;10&amp;A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zoomScaleNormal="100" workbookViewId="0">
      <selection activeCell="I22" sqref="I22"/>
    </sheetView>
  </sheetViews>
  <sheetFormatPr defaultRowHeight="15"/>
  <cols>
    <col min="1" max="1" width="13.77734375" customWidth="1"/>
    <col min="2" max="2" width="10.33203125" customWidth="1"/>
    <col min="3" max="3" width="15.6640625" customWidth="1"/>
    <col min="4" max="4" width="11.88671875" customWidth="1"/>
    <col min="5" max="5" width="12.5546875" customWidth="1"/>
  </cols>
  <sheetData>
    <row r="1" spans="1:5" s="371" customFormat="1" ht="12.75">
      <c r="A1" s="370" t="s">
        <v>495</v>
      </c>
      <c r="B1" s="143"/>
      <c r="C1" s="143"/>
      <c r="D1" s="143"/>
      <c r="E1" s="143" t="s">
        <v>2</v>
      </c>
    </row>
    <row r="2" spans="1:5" s="371" customFormat="1" ht="12.75">
      <c r="A2" s="143" t="s">
        <v>511</v>
      </c>
      <c r="B2" s="143"/>
      <c r="C2" s="143"/>
      <c r="D2" s="143"/>
      <c r="E2" s="143" t="s">
        <v>2</v>
      </c>
    </row>
    <row r="3" spans="1:5" s="371" customFormat="1" ht="12.75">
      <c r="A3" s="372" t="str">
        <f>'WP - Allocation Factors'!A3</f>
        <v>Fiscal Year Ending April 30, 2016</v>
      </c>
      <c r="B3" s="143"/>
      <c r="C3" s="143"/>
      <c r="D3" s="143"/>
      <c r="E3" s="143" t="s">
        <v>2</v>
      </c>
    </row>
    <row r="5" spans="1:5">
      <c r="A5" s="593" t="s">
        <v>1939</v>
      </c>
      <c r="B5" s="593"/>
      <c r="C5" s="593"/>
      <c r="D5" s="593"/>
    </row>
    <row r="6" spans="1:5" ht="25.5">
      <c r="A6" s="385"/>
      <c r="B6" s="386" t="s">
        <v>512</v>
      </c>
      <c r="C6" s="386" t="s">
        <v>513</v>
      </c>
      <c r="D6" s="386" t="s">
        <v>514</v>
      </c>
    </row>
    <row r="7" spans="1:5">
      <c r="A7" s="387" t="s">
        <v>504</v>
      </c>
      <c r="B7" s="537">
        <f>SUMIF('WP - Electric Utility Fund'!$K$9:$K$521,A7,'WP - Electric Utility Fund'!$H$9:$H$521)</f>
        <v>115525050.97999999</v>
      </c>
      <c r="C7" s="537">
        <f>SUMIF('WP - Electric Utility Fund'!$K$9:$K$521,A7,'WP - Electric Utility Fund'!$I$9:$I$521)</f>
        <v>2202375.37</v>
      </c>
      <c r="D7" s="537">
        <f>SUMIF('WP - Electric Utility Fund'!$K$9:$K$521,A7,'WP - Electric Utility Fund'!$J$9:$J$521)</f>
        <v>3837135.2883333331</v>
      </c>
    </row>
    <row r="8" spans="1:5">
      <c r="A8" s="387" t="s">
        <v>45</v>
      </c>
      <c r="B8" s="537">
        <f>SUMIF('WP - Electric Utility Fund'!$K$9:$K$521,A8,'WP - Electric Utility Fund'!$H$9:$H$521)</f>
        <v>11098079.059999999</v>
      </c>
      <c r="C8" s="537">
        <f>SUMIF('WP - Electric Utility Fund'!$K$9:$K$521,A8,'WP - Electric Utility Fund'!$I$9:$I$521)</f>
        <v>6728120.8200000003</v>
      </c>
      <c r="D8" s="537">
        <f>SUMIF('WP - Electric Utility Fund'!$K$9:$K$521,A8,'WP - Electric Utility Fund'!$J$9:$J$521)</f>
        <v>372910.6513333334</v>
      </c>
    </row>
    <row r="9" spans="1:5">
      <c r="A9" s="387" t="s">
        <v>505</v>
      </c>
      <c r="B9" s="537">
        <f>SUMIF('WP - Electric Utility Fund'!$K$9:$K$521,A9,'WP - Electric Utility Fund'!$H$9:$H$521)</f>
        <v>45830502.819999993</v>
      </c>
      <c r="C9" s="537">
        <f>SUMIF('WP - Electric Utility Fund'!$K$9:$K$521,A9,'WP - Electric Utility Fund'!$I$9:$I$521)</f>
        <v>27018128.089999992</v>
      </c>
      <c r="D9" s="537">
        <f>SUMIF('WP - Electric Utility Fund'!$K$9:$K$521,A9,'WP - Electric Utility Fund'!$J$9:$J$521)</f>
        <v>1000863.2094666667</v>
      </c>
    </row>
    <row r="10" spans="1:5">
      <c r="A10" s="387" t="s">
        <v>515</v>
      </c>
      <c r="B10" s="537">
        <f>SUMIF('WP - Electric Utility Fund'!$K$9:$K$521,A10,'WP - Electric Utility Fund'!$H$9:$H$521)</f>
        <v>4223416.0600000005</v>
      </c>
      <c r="C10" s="537">
        <f>SUMIF('WP - Electric Utility Fund'!$K$9:$K$521,A10,'WP - Electric Utility Fund'!$I$9:$I$521)</f>
        <v>3262068.2799999989</v>
      </c>
      <c r="D10" s="537">
        <f>SUMIF('WP - Electric Utility Fund'!$K$9:$K$521,A10,'WP - Electric Utility Fund'!$J$9:$J$521)</f>
        <v>287759.32799999998</v>
      </c>
    </row>
    <row r="11" spans="1:5">
      <c r="A11" s="387" t="s">
        <v>516</v>
      </c>
      <c r="B11" s="537">
        <f>SUMIF('WP - Electric Utility Fund'!$K$9:$K$521,A11,'WP - Electric Utility Fund'!$H$9:$H$521)</f>
        <v>22882115.360000003</v>
      </c>
      <c r="C11" s="537">
        <f>SUMIF('WP - Electric Utility Fund'!$K$9:$K$521,A11,'WP - Electric Utility Fund'!$I$9:$I$521)</f>
        <v>12801020.779999997</v>
      </c>
      <c r="D11" s="537">
        <f>SUMIF('WP - Electric Utility Fund'!$K$9:$K$521,A11,'WP - Electric Utility Fund'!$J$9:$J$521)</f>
        <v>622611.54</v>
      </c>
    </row>
    <row r="12" spans="1:5">
      <c r="A12" s="387" t="s">
        <v>517</v>
      </c>
      <c r="B12" s="538">
        <f>SUMIF('WP - Electric Utility Fund'!$K$9:$K$521,A12,'WP - Electric Utility Fund'!$H$9:$H$521)</f>
        <v>0</v>
      </c>
      <c r="C12" s="538">
        <f>SUMIF('WP - Electric Utility Fund'!$K$9:$K$521,A12,'WP - Electric Utility Fund'!$I$9:$I$521)</f>
        <v>0</v>
      </c>
      <c r="D12" s="538">
        <f>SUMIF('WP - Electric Utility Fund'!$K$9:$K$521,A12,'WP - Electric Utility Fund'!$J$9:$J$521)</f>
        <v>0</v>
      </c>
    </row>
    <row r="13" spans="1:5">
      <c r="A13" s="387" t="s">
        <v>9</v>
      </c>
      <c r="B13" s="324">
        <f>SUM(B7:B12)</f>
        <v>199559164.28</v>
      </c>
      <c r="C13" s="324">
        <f>SUM(C7:C12)</f>
        <v>52011713.339999989</v>
      </c>
      <c r="D13" s="324">
        <f>SUM(D7:D12)</f>
        <v>6121280.0171333328</v>
      </c>
    </row>
    <row r="14" spans="1:5">
      <c r="A14" s="387"/>
      <c r="B14" s="387"/>
      <c r="C14" s="387"/>
      <c r="D14" s="387"/>
    </row>
    <row r="15" spans="1:5">
      <c r="A15" s="387" t="s">
        <v>446</v>
      </c>
      <c r="B15" s="388">
        <f>B13-'WP - Electric Utility Fund'!H521</f>
        <v>0</v>
      </c>
      <c r="C15" s="388">
        <f>C13-'WP - Electric Utility Fund'!I521</f>
        <v>0</v>
      </c>
      <c r="D15" s="388">
        <f>D13-'WP - Electric Utility Fund'!J521</f>
        <v>0</v>
      </c>
    </row>
    <row r="16" spans="1:5">
      <c r="A16" s="387"/>
      <c r="B16" s="387"/>
      <c r="C16" s="387"/>
      <c r="D16" s="387"/>
    </row>
    <row r="17" spans="1:4">
      <c r="A17" s="594" t="s">
        <v>1940</v>
      </c>
      <c r="B17" s="594"/>
      <c r="C17" s="594"/>
      <c r="D17" s="594"/>
    </row>
    <row r="18" spans="1:4" ht="25.5">
      <c r="A18" s="385"/>
      <c r="B18" s="386" t="s">
        <v>512</v>
      </c>
      <c r="C18" s="386" t="s">
        <v>513</v>
      </c>
      <c r="D18" s="386" t="s">
        <v>514</v>
      </c>
    </row>
    <row r="19" spans="1:4">
      <c r="A19" s="387"/>
      <c r="B19" s="387"/>
      <c r="C19" s="387"/>
      <c r="D19" s="387"/>
    </row>
    <row r="20" spans="1:4">
      <c r="A20" s="387" t="s">
        <v>504</v>
      </c>
      <c r="B20" s="324">
        <f>'WP - Electric Utility Fund'!O521</f>
        <v>115525050.97999999</v>
      </c>
      <c r="C20" s="324">
        <f>'WP - Electric Utility Fund'!U521</f>
        <v>2202375.37</v>
      </c>
      <c r="D20" s="324">
        <f>'WP - Electric Utility Fund'!AA521</f>
        <v>3837135.2883333331</v>
      </c>
    </row>
    <row r="21" spans="1:4">
      <c r="A21" s="387" t="s">
        <v>45</v>
      </c>
      <c r="B21" s="324">
        <f>'WP - Electric Utility Fund'!P521</f>
        <v>17888259.302999996</v>
      </c>
      <c r="C21" s="324">
        <f>'WP - Electric Utility Fund'!V521</f>
        <v>10577534.220825888</v>
      </c>
      <c r="D21" s="324">
        <f>'WP - Electric Utility Fund'!AB521</f>
        <v>557212.29950960435</v>
      </c>
    </row>
    <row r="22" spans="1:4">
      <c r="A22" s="387" t="s">
        <v>505</v>
      </c>
      <c r="B22" s="324">
        <f>'WP - Electric Utility Fund'!Q521</f>
        <v>61922437.387000002</v>
      </c>
      <c r="C22" s="324">
        <f>'WP - Electric Utility Fund'!W521</f>
        <v>35969735.468507417</v>
      </c>
      <c r="D22" s="324">
        <f>'WP - Electric Utility Fund'!AC521</f>
        <v>1439173.082957061</v>
      </c>
    </row>
    <row r="23" spans="1:4">
      <c r="A23" s="387" t="s">
        <v>515</v>
      </c>
      <c r="B23" s="324">
        <f>'WP - Electric Utility Fund'!R521</f>
        <v>4223416.0600000005</v>
      </c>
      <c r="C23" s="324">
        <f>'WP - Electric Utility Fund'!X521</f>
        <v>3262068.2799999989</v>
      </c>
      <c r="D23" s="324">
        <f>'WP - Electric Utility Fund'!AD521</f>
        <v>287759.32799999998</v>
      </c>
    </row>
    <row r="24" spans="1:4" ht="15.75" thickBot="1">
      <c r="A24" s="389" t="s">
        <v>9</v>
      </c>
      <c r="B24" s="390">
        <f>SUM(B20:B23)</f>
        <v>199559163.72999999</v>
      </c>
      <c r="C24" s="390">
        <f>SUM(C20:C23)</f>
        <v>52011713.339333311</v>
      </c>
      <c r="D24" s="390">
        <f>SUM(D20:D23)</f>
        <v>6121279.9987999983</v>
      </c>
    </row>
    <row r="25" spans="1:4" ht="15.75" thickTop="1">
      <c r="A25" s="387"/>
      <c r="B25" s="324"/>
      <c r="C25" s="324"/>
      <c r="D25" s="324"/>
    </row>
    <row r="26" spans="1:4">
      <c r="A26" s="387" t="s">
        <v>446</v>
      </c>
      <c r="B26" s="324">
        <f>B24-B13</f>
        <v>-0.55000001192092896</v>
      </c>
      <c r="C26" s="324">
        <f>C24-C13</f>
        <v>-6.6667795181274414E-4</v>
      </c>
      <c r="D26" s="324">
        <f>D24-D13</f>
        <v>-1.8333334475755692E-2</v>
      </c>
    </row>
    <row r="27" spans="1:4">
      <c r="A27" s="387"/>
      <c r="B27" s="387"/>
      <c r="C27" s="387"/>
      <c r="D27" s="387"/>
    </row>
    <row r="28" spans="1:4">
      <c r="A28" s="387"/>
      <c r="B28" s="387"/>
      <c r="C28" s="387"/>
      <c r="D28" s="387"/>
    </row>
    <row r="29" spans="1:4">
      <c r="A29" s="594" t="s">
        <v>518</v>
      </c>
      <c r="B29" s="594"/>
      <c r="C29" s="594"/>
      <c r="D29" s="594"/>
    </row>
    <row r="30" spans="1:4" ht="25.5">
      <c r="A30" s="385"/>
      <c r="B30" s="386" t="s">
        <v>512</v>
      </c>
      <c r="C30" s="386" t="s">
        <v>513</v>
      </c>
      <c r="D30" s="386" t="s">
        <v>514</v>
      </c>
    </row>
    <row r="31" spans="1:4">
      <c r="A31" s="387"/>
      <c r="B31" s="387"/>
      <c r="C31" s="387"/>
      <c r="D31" s="387"/>
    </row>
    <row r="32" spans="1:4">
      <c r="A32" s="387" t="s">
        <v>504</v>
      </c>
      <c r="B32" s="324">
        <f>'WP - Electric Utility Fund'!O523</f>
        <v>45701329.659999996</v>
      </c>
      <c r="C32" s="324">
        <f>'WP - Electric Utility Fund'!U523</f>
        <v>17335368.230000004</v>
      </c>
      <c r="D32" s="324">
        <f>'WP - Electric Utility Fund'!AA523</f>
        <v>1219087.33</v>
      </c>
    </row>
    <row r="33" spans="1:4">
      <c r="A33" s="387" t="s">
        <v>45</v>
      </c>
      <c r="B33" s="324">
        <f>'WP - Electric Utility Fund'!P523</f>
        <v>17312576.942999996</v>
      </c>
      <c r="C33" s="324">
        <f>'WP - Electric Utility Fund'!V523</f>
        <v>10039511.342649618</v>
      </c>
      <c r="D33" s="324">
        <f>'WP - Electric Utility Fund'!AB523</f>
        <v>521439.07917627099</v>
      </c>
    </row>
    <row r="34" spans="1:4">
      <c r="A34" s="387" t="s">
        <v>505</v>
      </c>
      <c r="B34" s="324">
        <f>'WP - Electric Utility Fund'!Q523</f>
        <v>59660500.147</v>
      </c>
      <c r="C34" s="324">
        <f>'WP - Electric Utility Fund'!W523</f>
        <v>35198378.075017065</v>
      </c>
      <c r="D34" s="324">
        <f>'WP - Electric Utility Fund'!AC523</f>
        <v>1386905.9917570609</v>
      </c>
    </row>
    <row r="35" spans="1:4">
      <c r="A35" s="387" t="s">
        <v>515</v>
      </c>
      <c r="B35" s="324">
        <f>'WP - Electric Utility Fund'!R523</f>
        <v>4036091.3599999994</v>
      </c>
      <c r="C35" s="324">
        <f>'WP - Electric Utility Fund'!X523</f>
        <v>2989980.7799999984</v>
      </c>
      <c r="D35" s="324">
        <f>'WP - Electric Utility Fund'!AD523</f>
        <v>414990.89899999998</v>
      </c>
    </row>
    <row r="36" spans="1:4" ht="15.75" thickBot="1">
      <c r="A36" s="389" t="s">
        <v>9</v>
      </c>
      <c r="B36" s="390">
        <f>SUM(B32:B35)</f>
        <v>126710498.11</v>
      </c>
      <c r="C36" s="390">
        <f>SUM(C32:C35)</f>
        <v>65563238.427666686</v>
      </c>
      <c r="D36" s="390">
        <f>SUM(D32:D35)</f>
        <v>3542423.299933332</v>
      </c>
    </row>
    <row r="37" spans="1:4" ht="15.75" thickTop="1">
      <c r="A37" s="387"/>
      <c r="B37" s="324"/>
      <c r="C37" s="324"/>
      <c r="D37" s="324"/>
    </row>
    <row r="38" spans="1:4">
      <c r="A38" s="387" t="s">
        <v>446</v>
      </c>
      <c r="B38" s="324">
        <f>SUM('WP - Electric Utility Fund'!O523:R523)-B36</f>
        <v>0</v>
      </c>
      <c r="C38" s="324">
        <f>SUM('WP - Electric Utility Fund'!U523:X523)-C36</f>
        <v>0</v>
      </c>
      <c r="D38" s="324">
        <f>SUM('WP - Electric Utility Fund'!AA523:AD523)-D36</f>
        <v>0</v>
      </c>
    </row>
    <row r="39" spans="1:4">
      <c r="A39" s="387"/>
      <c r="B39" s="387"/>
      <c r="C39" s="387"/>
      <c r="D39" s="387"/>
    </row>
    <row r="40" spans="1:4">
      <c r="A40" s="387"/>
      <c r="B40" s="387"/>
      <c r="C40" s="387"/>
      <c r="D40" s="387"/>
    </row>
    <row r="41" spans="1:4">
      <c r="A41" s="594" t="s">
        <v>519</v>
      </c>
      <c r="B41" s="594"/>
      <c r="C41" s="594"/>
      <c r="D41" s="594"/>
    </row>
    <row r="42" spans="1:4" ht="25.5">
      <c r="A42" s="385"/>
      <c r="B42" s="386" t="s">
        <v>512</v>
      </c>
      <c r="C42" s="386" t="s">
        <v>513</v>
      </c>
      <c r="D42" s="386" t="s">
        <v>514</v>
      </c>
    </row>
    <row r="43" spans="1:4">
      <c r="A43" s="387"/>
      <c r="B43" s="387"/>
      <c r="C43" s="387"/>
      <c r="D43" s="387"/>
    </row>
    <row r="44" spans="1:4">
      <c r="A44" s="387" t="s">
        <v>504</v>
      </c>
      <c r="B44" s="324">
        <f t="shared" ref="B44:D47" si="0">B20-B32</f>
        <v>69823721.319999993</v>
      </c>
      <c r="C44" s="324">
        <f t="shared" si="0"/>
        <v>-15132992.860000003</v>
      </c>
      <c r="D44" s="324">
        <f t="shared" si="0"/>
        <v>2618047.958333333</v>
      </c>
    </row>
    <row r="45" spans="1:4">
      <c r="A45" s="387" t="s">
        <v>45</v>
      </c>
      <c r="B45" s="324">
        <f t="shared" si="0"/>
        <v>575682.3599999994</v>
      </c>
      <c r="C45" s="324">
        <f t="shared" si="0"/>
        <v>538022.87817627005</v>
      </c>
      <c r="D45" s="324">
        <f t="shared" si="0"/>
        <v>35773.22033333336</v>
      </c>
    </row>
    <row r="46" spans="1:4">
      <c r="A46" s="387" t="s">
        <v>505</v>
      </c>
      <c r="B46" s="324">
        <f t="shared" si="0"/>
        <v>2261937.2400000021</v>
      </c>
      <c r="C46" s="324">
        <f t="shared" si="0"/>
        <v>771357.39349035174</v>
      </c>
      <c r="D46" s="324">
        <f t="shared" si="0"/>
        <v>52267.091200000141</v>
      </c>
    </row>
    <row r="47" spans="1:4">
      <c r="A47" s="387" t="s">
        <v>515</v>
      </c>
      <c r="B47" s="324">
        <f t="shared" si="0"/>
        <v>187324.70000000112</v>
      </c>
      <c r="C47" s="324">
        <f t="shared" si="0"/>
        <v>272087.50000000047</v>
      </c>
      <c r="D47" s="324">
        <f t="shared" si="0"/>
        <v>-127231.571</v>
      </c>
    </row>
    <row r="48" spans="1:4" ht="15.75" thickBot="1">
      <c r="A48" s="389" t="s">
        <v>9</v>
      </c>
      <c r="B48" s="390">
        <f>SUM(B44:B47)</f>
        <v>72848665.61999999</v>
      </c>
      <c r="C48" s="390">
        <f>SUM(C44:C47)</f>
        <v>-13551525.088333381</v>
      </c>
      <c r="D48" s="390">
        <f>SUM(D44:D47)</f>
        <v>2578856.6988666663</v>
      </c>
    </row>
    <row r="49" spans="1:4" ht="15.75" thickTop="1">
      <c r="A49" s="387"/>
      <c r="B49" s="324"/>
      <c r="C49" s="324"/>
      <c r="D49" s="324"/>
    </row>
    <row r="50" spans="1:4">
      <c r="A50" s="387" t="s">
        <v>446</v>
      </c>
      <c r="B50" s="324">
        <f>SUM('WP - Electric Utility Fund'!O525:R525)-B48</f>
        <v>0</v>
      </c>
      <c r="C50" s="324">
        <f>SUM('WP - Electric Utility Fund'!U525:X525)-C48</f>
        <v>0</v>
      </c>
      <c r="D50" s="324">
        <f>SUM('WP - Electric Utility Fund'!AA525:AD525)-D48</f>
        <v>0</v>
      </c>
    </row>
  </sheetData>
  <mergeCells count="4">
    <mergeCell ref="A5:D5"/>
    <mergeCell ref="A17:D17"/>
    <mergeCell ref="A29:D29"/>
    <mergeCell ref="A41:D41"/>
  </mergeCells>
  <pageMargins left="0.7" right="0.7" top="0.75" bottom="0.75" header="0.3" footer="0.3"/>
  <pageSetup scale="87" orientation="portrait" r:id="rId1"/>
  <headerFooter>
    <oddFooter>&amp;L&amp;10&amp;F&amp;R&amp;10&amp;A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13</vt:i4>
      </vt:variant>
    </vt:vector>
  </HeadingPairs>
  <TitlesOfParts>
    <vt:vector size="29" baseType="lpstr">
      <vt:lpstr>Nonlevelized-EIA 412</vt:lpstr>
      <vt:lpstr>EIA 412 Sch 2 Electric</vt:lpstr>
      <vt:lpstr>EIA 412 Sch 2 Total Utility</vt:lpstr>
      <vt:lpstr>EIA 412 Sch 3 Electric</vt:lpstr>
      <vt:lpstr>EIA 412 Sch 3 Total Utility</vt:lpstr>
      <vt:lpstr>EIA 412 Sch 4</vt:lpstr>
      <vt:lpstr>EIA 412 Sch 7</vt:lpstr>
      <vt:lpstr>WP - Allocation Factors</vt:lpstr>
      <vt:lpstr>WP - Plant Functionalization</vt:lpstr>
      <vt:lpstr>WP - Electric Utility Fund</vt:lpstr>
      <vt:lpstr>WP - Trial Balance</vt:lpstr>
      <vt:lpstr>WP - A&amp;G Expenses</vt:lpstr>
      <vt:lpstr>WP - O&amp;M Expenses</vt:lpstr>
      <vt:lpstr>WP - Other Taxes</vt:lpstr>
      <vt:lpstr>WP - Revenue Credits</vt:lpstr>
      <vt:lpstr>WP - Electric Revenues</vt:lpstr>
      <vt:lpstr>'EIA 412 Sch 2 Electric'!Print_Area</vt:lpstr>
      <vt:lpstr>'EIA 412 Sch 2 Total Utility'!Print_Area</vt:lpstr>
      <vt:lpstr>'EIA 412 Sch 4'!Print_Area</vt:lpstr>
      <vt:lpstr>'Nonlevelized-EIA 412'!Print_Area</vt:lpstr>
      <vt:lpstr>'WP - Allocation Factors'!Print_Area</vt:lpstr>
      <vt:lpstr>'WP - Electric Utility Fund'!Print_Area</vt:lpstr>
      <vt:lpstr>'WP - O&amp;M Expenses'!Print_Area</vt:lpstr>
      <vt:lpstr>'WP - Other Taxes'!Print_Area</vt:lpstr>
      <vt:lpstr>'WP - Plant Functionalization'!Print_Area</vt:lpstr>
      <vt:lpstr>'WP - Trial Balance'!Print_Area</vt:lpstr>
      <vt:lpstr>'WP - Electric Utility Fund'!Print_Titles</vt:lpstr>
      <vt:lpstr>'WP - O&amp;M Expenses'!Print_Titles</vt:lpstr>
      <vt:lpstr>'WP - Trial Balance'!Print_Titles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Haselhorst</dc:creator>
  <cp:lastModifiedBy>Patrick Brin</cp:lastModifiedBy>
  <cp:lastPrinted>2018-03-02T00:35:43Z</cp:lastPrinted>
  <dcterms:created xsi:type="dcterms:W3CDTF">2008-03-20T17:17:49Z</dcterms:created>
  <dcterms:modified xsi:type="dcterms:W3CDTF">2018-03-02T00:41:28Z</dcterms:modified>
</cp:coreProperties>
</file>