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0584"/>
  </bookViews>
  <sheets>
    <sheet name="CA" sheetId="1" r:id="rId1"/>
  </sheets>
  <calcPr calcId="125725"/>
</workbook>
</file>

<file path=xl/calcChain.xml><?xml version="1.0" encoding="utf-8"?>
<calcChain xmlns="http://schemas.openxmlformats.org/spreadsheetml/2006/main">
  <c r="E425" i="1"/>
  <c r="D425"/>
  <c r="C425"/>
  <c r="E177"/>
  <c r="D177"/>
  <c r="C177"/>
  <c r="E405"/>
  <c r="D405"/>
  <c r="C405"/>
  <c r="F405"/>
  <c r="D176"/>
  <c r="E176"/>
  <c r="C176"/>
  <c r="D460"/>
  <c r="D459"/>
  <c r="E460"/>
  <c r="E459"/>
  <c r="D453"/>
  <c r="E453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E60"/>
  <c r="D60"/>
  <c r="D61"/>
  <c r="D62"/>
  <c r="D63"/>
  <c r="D64"/>
  <c r="D65"/>
  <c r="D66"/>
  <c r="D67"/>
  <c r="D278"/>
  <c r="D279"/>
  <c r="D68"/>
  <c r="D69"/>
  <c r="D70"/>
  <c r="D71"/>
  <c r="D72"/>
  <c r="D73"/>
  <c r="D280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281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E133"/>
  <c r="D133"/>
  <c r="D134"/>
  <c r="D370"/>
  <c r="E137"/>
  <c r="E136"/>
  <c r="E135"/>
  <c r="D135"/>
  <c r="D136"/>
  <c r="D137"/>
  <c r="D282"/>
  <c r="D284"/>
  <c r="D144"/>
  <c r="D145"/>
  <c r="D371"/>
  <c r="D372"/>
  <c r="D373"/>
  <c r="D374"/>
  <c r="D375"/>
  <c r="D376"/>
  <c r="D219"/>
  <c r="D220"/>
  <c r="D221"/>
  <c r="D222"/>
  <c r="D288"/>
  <c r="D291"/>
  <c r="D228"/>
  <c r="D229"/>
  <c r="D146"/>
  <c r="D147"/>
  <c r="D148"/>
  <c r="D149"/>
  <c r="D150"/>
  <c r="D151"/>
  <c r="D152"/>
  <c r="D153"/>
  <c r="D154"/>
  <c r="D155"/>
  <c r="D156"/>
  <c r="D157"/>
  <c r="D158"/>
  <c r="D244"/>
  <c r="D245"/>
  <c r="D246"/>
  <c r="D247"/>
  <c r="D248"/>
  <c r="D162"/>
  <c r="D249"/>
  <c r="D316"/>
  <c r="D317"/>
  <c r="D318"/>
  <c r="E377"/>
  <c r="D377"/>
  <c r="E380"/>
  <c r="D380"/>
  <c r="D381"/>
  <c r="D382"/>
  <c r="D383"/>
  <c r="D384"/>
  <c r="E386"/>
  <c r="D386"/>
  <c r="D387"/>
  <c r="E390"/>
  <c r="D390"/>
  <c r="E392"/>
  <c r="D392"/>
  <c r="E394"/>
  <c r="D394"/>
  <c r="E396"/>
  <c r="D396"/>
  <c r="E398"/>
  <c r="D398"/>
  <c r="E400"/>
  <c r="D400"/>
  <c r="E404"/>
  <c r="D404"/>
  <c r="D401"/>
  <c r="D402"/>
  <c r="D165"/>
  <c r="E351"/>
  <c r="D351"/>
  <c r="D186"/>
  <c r="D187"/>
  <c r="D188"/>
  <c r="D189"/>
  <c r="D190"/>
  <c r="E214"/>
  <c r="D214"/>
  <c r="D215"/>
  <c r="D216"/>
  <c r="D217"/>
  <c r="D223"/>
  <c r="D224"/>
  <c r="D225"/>
  <c r="D226"/>
  <c r="D227"/>
  <c r="D230"/>
  <c r="D231"/>
  <c r="D232"/>
  <c r="D233"/>
  <c r="D234"/>
  <c r="D235"/>
  <c r="D236"/>
  <c r="D237"/>
  <c r="D238"/>
  <c r="D239"/>
  <c r="D240"/>
  <c r="D241"/>
  <c r="D250"/>
  <c r="D251"/>
  <c r="D254"/>
  <c r="D255"/>
  <c r="D256"/>
  <c r="D257"/>
  <c r="D258"/>
  <c r="D259"/>
  <c r="D260"/>
  <c r="D262"/>
  <c r="D263"/>
  <c r="D264"/>
  <c r="D265"/>
  <c r="D266"/>
  <c r="E174"/>
  <c r="D174"/>
  <c r="E175"/>
  <c r="D175"/>
  <c r="D27" l="1"/>
  <c r="D26"/>
  <c r="D25"/>
  <c r="D24"/>
  <c r="D23"/>
  <c r="D22"/>
  <c r="D21"/>
  <c r="D20"/>
  <c r="D19"/>
  <c r="D18"/>
  <c r="D17"/>
  <c r="D16"/>
  <c r="D15"/>
  <c r="D369"/>
  <c r="D368"/>
  <c r="D367"/>
  <c r="D366"/>
  <c r="D365"/>
  <c r="D13"/>
  <c r="D12"/>
  <c r="E364"/>
  <c r="D364"/>
  <c r="E363"/>
  <c r="D363"/>
  <c r="D357"/>
  <c r="E268"/>
  <c r="D268"/>
  <c r="F268" s="1"/>
  <c r="E173"/>
  <c r="D173"/>
  <c r="F173" s="1"/>
  <c r="E172"/>
  <c r="D172"/>
  <c r="E171"/>
  <c r="D171"/>
  <c r="F171" s="1"/>
  <c r="E170"/>
  <c r="D170"/>
  <c r="E362"/>
  <c r="D362"/>
  <c r="D360"/>
  <c r="E360"/>
  <c r="D267"/>
  <c r="E359"/>
  <c r="D359"/>
  <c r="D169"/>
  <c r="D168"/>
  <c r="E356"/>
  <c r="D356"/>
  <c r="D355"/>
  <c r="D354"/>
  <c r="D352"/>
  <c r="D350"/>
  <c r="D349"/>
  <c r="D348"/>
  <c r="D347"/>
  <c r="D346"/>
  <c r="D345"/>
  <c r="E344"/>
  <c r="D344"/>
  <c r="D342"/>
  <c r="E341"/>
  <c r="D341"/>
  <c r="D340"/>
  <c r="D339"/>
  <c r="E261"/>
  <c r="D261"/>
  <c r="D335"/>
  <c r="D333"/>
  <c r="D332"/>
  <c r="D331"/>
  <c r="D330"/>
  <c r="D327"/>
  <c r="D323"/>
  <c r="D322"/>
  <c r="D321"/>
  <c r="D320"/>
  <c r="F177"/>
  <c r="E299"/>
  <c r="D299"/>
  <c r="E298"/>
  <c r="D298"/>
  <c r="E161"/>
  <c r="D161"/>
  <c r="E361"/>
  <c r="D361"/>
  <c r="D358"/>
  <c r="D167"/>
  <c r="D166"/>
  <c r="E353"/>
  <c r="D353"/>
  <c r="E164"/>
  <c r="D164"/>
  <c r="D185"/>
  <c r="D276"/>
  <c r="D277"/>
  <c r="D287"/>
  <c r="D338"/>
  <c r="E423"/>
  <c r="E422"/>
  <c r="E416"/>
  <c r="F176"/>
  <c r="C10"/>
  <c r="F10" s="1"/>
  <c r="C404"/>
  <c r="F404" s="1"/>
  <c r="F175"/>
  <c r="F172"/>
  <c r="F11"/>
  <c r="F9"/>
  <c r="F8"/>
  <c r="F7"/>
  <c r="F6"/>
  <c r="F5"/>
  <c r="C400"/>
  <c r="E432"/>
  <c r="F400" l="1"/>
  <c r="E458" l="1"/>
  <c r="E266"/>
  <c r="E264"/>
  <c r="E430" s="1"/>
  <c r="D213"/>
  <c r="E158"/>
  <c r="E370"/>
  <c r="E134"/>
  <c r="E132"/>
  <c r="E131"/>
  <c r="E130"/>
  <c r="E129"/>
  <c r="E17"/>
  <c r="E357"/>
  <c r="E267"/>
  <c r="E169"/>
  <c r="E168"/>
  <c r="E355"/>
  <c r="E354"/>
  <c r="D337"/>
  <c r="D336"/>
  <c r="D334"/>
  <c r="E327"/>
  <c r="D297"/>
  <c r="D458"/>
  <c r="E358"/>
  <c r="E167"/>
  <c r="D2"/>
  <c r="D432" s="1"/>
  <c r="E428" l="1"/>
  <c r="F137"/>
  <c r="F136"/>
  <c r="F135"/>
  <c r="C364"/>
  <c r="C363"/>
  <c r="E429"/>
  <c r="C170"/>
  <c r="C362"/>
  <c r="C360"/>
  <c r="C299"/>
  <c r="C399"/>
  <c r="C361"/>
  <c r="C4"/>
  <c r="F4" s="1"/>
  <c r="C174"/>
  <c r="C3"/>
  <c r="C2"/>
  <c r="E434"/>
  <c r="D434"/>
  <c r="C434"/>
  <c r="F425"/>
  <c r="F434" s="1"/>
  <c r="F158"/>
  <c r="F134"/>
  <c r="F133"/>
  <c r="F132"/>
  <c r="F131"/>
  <c r="F130"/>
  <c r="F129"/>
  <c r="F169"/>
  <c r="F168"/>
  <c r="F167"/>
  <c r="F165"/>
  <c r="F152"/>
  <c r="F143"/>
  <c r="F142"/>
  <c r="F141"/>
  <c r="F140"/>
  <c r="F139"/>
  <c r="F138"/>
  <c r="F128"/>
  <c r="F127"/>
  <c r="F126"/>
  <c r="F125"/>
  <c r="F124"/>
  <c r="F122"/>
  <c r="F121"/>
  <c r="F120"/>
  <c r="F119"/>
  <c r="F118"/>
  <c r="F116"/>
  <c r="F115"/>
  <c r="F114"/>
  <c r="F113"/>
  <c r="F112"/>
  <c r="F111"/>
  <c r="F109"/>
  <c r="F108"/>
  <c r="F107"/>
  <c r="F106"/>
  <c r="F105"/>
  <c r="F103"/>
  <c r="F102"/>
  <c r="F101"/>
  <c r="F100"/>
  <c r="F99"/>
  <c r="F97"/>
  <c r="F96"/>
  <c r="F95"/>
  <c r="F94"/>
  <c r="F93"/>
  <c r="F91"/>
  <c r="F90"/>
  <c r="F89"/>
  <c r="F88"/>
  <c r="F87"/>
  <c r="F85"/>
  <c r="F84"/>
  <c r="F83"/>
  <c r="F82"/>
  <c r="F81"/>
  <c r="F79"/>
  <c r="F78"/>
  <c r="F77"/>
  <c r="F76"/>
  <c r="F75"/>
  <c r="F73"/>
  <c r="F72"/>
  <c r="F71"/>
  <c r="F70"/>
  <c r="F69"/>
  <c r="F67"/>
  <c r="F66"/>
  <c r="F65"/>
  <c r="F64"/>
  <c r="F63"/>
  <c r="F61"/>
  <c r="F60"/>
  <c r="F59"/>
  <c r="F58"/>
  <c r="F57"/>
  <c r="F55"/>
  <c r="F54"/>
  <c r="F53"/>
  <c r="F52"/>
  <c r="F51"/>
  <c r="F49"/>
  <c r="F48"/>
  <c r="F47"/>
  <c r="F46"/>
  <c r="F45"/>
  <c r="F43"/>
  <c r="F42"/>
  <c r="F41"/>
  <c r="F40"/>
  <c r="F39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61"/>
  <c r="F160"/>
  <c r="F159"/>
  <c r="F166"/>
  <c r="F164"/>
  <c r="F157"/>
  <c r="F156"/>
  <c r="F155"/>
  <c r="F154"/>
  <c r="F153"/>
  <c r="F149"/>
  <c r="F148"/>
  <c r="F147"/>
  <c r="F146"/>
  <c r="F145"/>
  <c r="F144"/>
  <c r="F123"/>
  <c r="F117"/>
  <c r="F110"/>
  <c r="F104"/>
  <c r="F98"/>
  <c r="F92"/>
  <c r="F86"/>
  <c r="F80"/>
  <c r="F74"/>
  <c r="F68"/>
  <c r="F62"/>
  <c r="F56"/>
  <c r="F50"/>
  <c r="F44"/>
  <c r="F38"/>
  <c r="F32"/>
  <c r="F26"/>
  <c r="F20"/>
  <c r="F15"/>
  <c r="F14"/>
  <c r="F13"/>
  <c r="F12"/>
  <c r="F163"/>
  <c r="F162"/>
  <c r="F151"/>
  <c r="F150"/>
  <c r="F370"/>
  <c r="F397"/>
  <c r="F402"/>
  <c r="F401"/>
  <c r="F387"/>
  <c r="F384"/>
  <c r="F383"/>
  <c r="F382"/>
  <c r="F381"/>
  <c r="F376"/>
  <c r="F375"/>
  <c r="F374"/>
  <c r="F373"/>
  <c r="F372"/>
  <c r="F371"/>
  <c r="F369"/>
  <c r="F368"/>
  <c r="F367"/>
  <c r="F366"/>
  <c r="F403"/>
  <c r="F395"/>
  <c r="F393"/>
  <c r="F391"/>
  <c r="F389"/>
  <c r="F388"/>
  <c r="F385"/>
  <c r="F379"/>
  <c r="F378"/>
  <c r="F398"/>
  <c r="F396"/>
  <c r="F394"/>
  <c r="F392"/>
  <c r="F390"/>
  <c r="F386"/>
  <c r="F380"/>
  <c r="F377"/>
  <c r="F357"/>
  <c r="F359"/>
  <c r="F356"/>
  <c r="F355"/>
  <c r="F354"/>
  <c r="F358"/>
  <c r="F318"/>
  <c r="F317"/>
  <c r="F316"/>
  <c r="F293"/>
  <c r="F291"/>
  <c r="F288"/>
  <c r="F284"/>
  <c r="F283"/>
  <c r="F282"/>
  <c r="F298"/>
  <c r="F297"/>
  <c r="F458"/>
  <c r="F457"/>
  <c r="F456"/>
  <c r="F455"/>
  <c r="F287"/>
  <c r="F286"/>
  <c r="F281"/>
  <c r="F280"/>
  <c r="F279"/>
  <c r="F278"/>
  <c r="F351"/>
  <c r="F352"/>
  <c r="F350"/>
  <c r="F349"/>
  <c r="F348"/>
  <c r="F347"/>
  <c r="F346"/>
  <c r="F345"/>
  <c r="F344"/>
  <c r="F342"/>
  <c r="F341"/>
  <c r="F340"/>
  <c r="F339"/>
  <c r="F337"/>
  <c r="F336"/>
  <c r="F335"/>
  <c r="F334"/>
  <c r="F333"/>
  <c r="F332"/>
  <c r="F331"/>
  <c r="F330"/>
  <c r="D329"/>
  <c r="F328"/>
  <c r="F327"/>
  <c r="F326"/>
  <c r="F325"/>
  <c r="F324"/>
  <c r="F323"/>
  <c r="F322"/>
  <c r="F321"/>
  <c r="F320"/>
  <c r="F319"/>
  <c r="F315"/>
  <c r="D314"/>
  <c r="D313"/>
  <c r="F312"/>
  <c r="F311"/>
  <c r="F310"/>
  <c r="F308"/>
  <c r="F307"/>
  <c r="F303"/>
  <c r="F302"/>
  <c r="F301"/>
  <c r="F300"/>
  <c r="F296"/>
  <c r="F295"/>
  <c r="F294"/>
  <c r="F292"/>
  <c r="F290"/>
  <c r="F289"/>
  <c r="F285"/>
  <c r="F452"/>
  <c r="F451"/>
  <c r="F450"/>
  <c r="F449"/>
  <c r="F275"/>
  <c r="F448"/>
  <c r="F274"/>
  <c r="F273"/>
  <c r="F272"/>
  <c r="F271"/>
  <c r="F270"/>
  <c r="F447"/>
  <c r="F269"/>
  <c r="F446"/>
  <c r="F353"/>
  <c r="D343"/>
  <c r="F309"/>
  <c r="F306"/>
  <c r="F305"/>
  <c r="F304"/>
  <c r="F338"/>
  <c r="F277"/>
  <c r="F276"/>
  <c r="F461"/>
  <c r="F266"/>
  <c r="F264"/>
  <c r="F267"/>
  <c r="F249"/>
  <c r="F248"/>
  <c r="F178"/>
  <c r="F265"/>
  <c r="F263"/>
  <c r="F262"/>
  <c r="F260"/>
  <c r="F259"/>
  <c r="F258"/>
  <c r="F460"/>
  <c r="F257"/>
  <c r="F256"/>
  <c r="F255"/>
  <c r="F254"/>
  <c r="F251"/>
  <c r="F250"/>
  <c r="F241"/>
  <c r="F240"/>
  <c r="F239"/>
  <c r="F238"/>
  <c r="F237"/>
  <c r="F236"/>
  <c r="F235"/>
  <c r="F234"/>
  <c r="F233"/>
  <c r="F232"/>
  <c r="F231"/>
  <c r="F230"/>
  <c r="F459"/>
  <c r="F227"/>
  <c r="F226"/>
  <c r="F225"/>
  <c r="F224"/>
  <c r="F223"/>
  <c r="F217"/>
  <c r="F216"/>
  <c r="F215"/>
  <c r="F214"/>
  <c r="F213"/>
  <c r="D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454"/>
  <c r="F453"/>
  <c r="F190"/>
  <c r="F189"/>
  <c r="F188"/>
  <c r="F187"/>
  <c r="F186"/>
  <c r="F183"/>
  <c r="F182"/>
  <c r="F181"/>
  <c r="F180"/>
  <c r="F179"/>
  <c r="F247"/>
  <c r="F246"/>
  <c r="F245"/>
  <c r="F244"/>
  <c r="F229"/>
  <c r="F228"/>
  <c r="F222"/>
  <c r="F221"/>
  <c r="F220"/>
  <c r="F219"/>
  <c r="F261"/>
  <c r="F243"/>
  <c r="F242"/>
  <c r="F184"/>
  <c r="F253"/>
  <c r="F252"/>
  <c r="F218"/>
  <c r="F185"/>
  <c r="D428" l="1"/>
  <c r="D429"/>
  <c r="C432"/>
  <c r="E407"/>
  <c r="E426" s="1"/>
  <c r="E427" s="1"/>
  <c r="F212"/>
  <c r="F430" s="1"/>
  <c r="F329"/>
  <c r="F313"/>
  <c r="F174"/>
  <c r="C429"/>
  <c r="D430"/>
  <c r="D431"/>
  <c r="F314"/>
  <c r="F2"/>
  <c r="C430"/>
  <c r="F399"/>
  <c r="C428"/>
  <c r="F360"/>
  <c r="F364"/>
  <c r="F343"/>
  <c r="F3"/>
  <c r="C431"/>
  <c r="E431"/>
  <c r="E433" s="1"/>
  <c r="E435" s="1"/>
  <c r="G434"/>
  <c r="F362"/>
  <c r="F170"/>
  <c r="F429" s="1"/>
  <c r="F361"/>
  <c r="F299"/>
  <c r="F363"/>
  <c r="C407"/>
  <c r="C426" s="1"/>
  <c r="C427" s="1"/>
  <c r="F365"/>
  <c r="D407"/>
  <c r="D426" s="1"/>
  <c r="D427" s="1"/>
  <c r="F432" l="1"/>
  <c r="G432" s="1"/>
  <c r="F428"/>
  <c r="G428" s="1"/>
  <c r="C438"/>
  <c r="C437"/>
  <c r="F431"/>
  <c r="G430"/>
  <c r="C433"/>
  <c r="E436"/>
  <c r="G429"/>
  <c r="F407"/>
  <c r="F426" s="1"/>
  <c r="F427" s="1"/>
  <c r="D433"/>
  <c r="D435" s="1"/>
  <c r="D436" s="1"/>
  <c r="F433" l="1"/>
  <c r="F435" s="1"/>
  <c r="F436" s="1"/>
  <c r="C439"/>
  <c r="G431"/>
  <c r="C435"/>
  <c r="G433" l="1"/>
  <c r="G435"/>
  <c r="C436"/>
</calcChain>
</file>

<file path=xl/comments1.xml><?xml version="1.0" encoding="utf-8"?>
<comments xmlns="http://schemas.openxmlformats.org/spreadsheetml/2006/main">
  <authors>
    <author>Tina Stanley</author>
  </authors>
  <commentList>
    <comment ref="E430" authorId="0">
      <text>
        <r>
          <rPr>
            <b/>
            <sz val="9"/>
            <color indexed="81"/>
            <rFont val="Tahoma"/>
            <family val="2"/>
          </rPr>
          <t>Tina Stanley:</t>
        </r>
        <r>
          <rPr>
            <sz val="9"/>
            <color indexed="81"/>
            <rFont val="Tahoma"/>
            <family val="2"/>
          </rPr>
          <t xml:space="preserve">
added in disposal depreciation</t>
        </r>
      </text>
    </comment>
  </commentList>
</comments>
</file>

<file path=xl/sharedStrings.xml><?xml version="1.0" encoding="utf-8"?>
<sst xmlns="http://schemas.openxmlformats.org/spreadsheetml/2006/main" count="1339" uniqueCount="850">
  <si>
    <t>Account Number</t>
  </si>
  <si>
    <t>Item</t>
  </si>
  <si>
    <t>Cost</t>
  </si>
  <si>
    <t>Accumulated Depreciation</t>
  </si>
  <si>
    <t>Current Year Depreciation</t>
  </si>
  <si>
    <t>Net Plant</t>
  </si>
  <si>
    <t>Classification</t>
  </si>
  <si>
    <t>00005937-0000</t>
  </si>
  <si>
    <t>CHLORINE BUILDING</t>
  </si>
  <si>
    <t>G</t>
  </si>
  <si>
    <t>00006230-0006</t>
  </si>
  <si>
    <t>WORK CENTER ROOF REPLACEMENT</t>
  </si>
  <si>
    <t>00010077-0000</t>
  </si>
  <si>
    <t>POWER WATCH SYSTEM</t>
  </si>
  <si>
    <t>00010077-0001</t>
  </si>
  <si>
    <t>2007/08 POWER WATCH SYSTEM</t>
  </si>
  <si>
    <t>00005925-0007</t>
  </si>
  <si>
    <t>FCTS 7010-100T WEIGH-TRONIX SCALE</t>
  </si>
  <si>
    <t>00009529-0000</t>
  </si>
  <si>
    <t>POWER PLANT SURVEILLANCE SYSTEM</t>
  </si>
  <si>
    <t>00009542-0000</t>
  </si>
  <si>
    <t>REVERSE OSMOSIS SYSTEM</t>
  </si>
  <si>
    <t>00010285-0001</t>
  </si>
  <si>
    <t>SPECTRAPAK EMMISSION MONITORING SOF</t>
  </si>
  <si>
    <t>00006447-0000</t>
  </si>
  <si>
    <t>CONTINUOUS EMMISSION MONITORING SYS</t>
  </si>
  <si>
    <t>00006447-0001</t>
  </si>
  <si>
    <t>1995/96 CONT EMMISSION MONITORING S</t>
  </si>
  <si>
    <t>00006447-0002</t>
  </si>
  <si>
    <t>1997/98 CONT EMMISSION MONITORING S</t>
  </si>
  <si>
    <t>00006447-0003</t>
  </si>
  <si>
    <t>1998/99 CONT EMMISSION MONITORING S</t>
  </si>
  <si>
    <t>00006949-0000</t>
  </si>
  <si>
    <t>CEM EDR 1.3 UPGRADE</t>
  </si>
  <si>
    <t>00006949-0001</t>
  </si>
  <si>
    <t>1996/97 ADDITIONS TO CEM EDR 1.3 UP</t>
  </si>
  <si>
    <t>00009840-0000</t>
  </si>
  <si>
    <t>20MW COMBUSTION TURBINE (DAYTON/PUL</t>
  </si>
  <si>
    <t>00009840-0001</t>
  </si>
  <si>
    <t>2004/05 20MW COMBUSTION TURBINE</t>
  </si>
  <si>
    <t>00009840-0002</t>
  </si>
  <si>
    <t>2005/06 20MW COMBUSTION TURBINE</t>
  </si>
  <si>
    <t>00009840-0003</t>
  </si>
  <si>
    <t>2006/07 COMBUSTION TURBINE GENERATO</t>
  </si>
  <si>
    <t>00005847-0001</t>
  </si>
  <si>
    <t>408 DUFF AVENUE (MUNN PROPERTY)</t>
  </si>
  <si>
    <t>00005847-0002</t>
  </si>
  <si>
    <t>HANSON LUMBER LAND (COAL YARD TRACK</t>
  </si>
  <si>
    <t>00005847-0003</t>
  </si>
  <si>
    <t>2004/05 HANSON LUMBER LAND PURCHASE</t>
  </si>
  <si>
    <t>00005847-0004</t>
  </si>
  <si>
    <t>2005/06 HANSON LUMBER LAND ADDITION</t>
  </si>
  <si>
    <t>00005848-0000</t>
  </si>
  <si>
    <t>60 MW COAL-FIRED STEAM GENERATING U</t>
  </si>
  <si>
    <t>00006019-0000</t>
  </si>
  <si>
    <t>WATERLANCES IN 7 &amp; 8</t>
  </si>
  <si>
    <t>00006019-0001</t>
  </si>
  <si>
    <t>1994/95 WATERLANCES IN 7 &amp; 8 ADDITI</t>
  </si>
  <si>
    <t>00006019-0002</t>
  </si>
  <si>
    <t>1995/96 WATERLANCES IN 7 &amp; 8 ADDITI</t>
  </si>
  <si>
    <t>00006019-0003</t>
  </si>
  <si>
    <t>1996/97 WATERLANCES IN 7 &amp; 8 ADDITI</t>
  </si>
  <si>
    <t>00006019-0004</t>
  </si>
  <si>
    <t>1997/98 WATERLANCES IN 7 &amp; 8 ADDITI</t>
  </si>
  <si>
    <t>00006020-0000</t>
  </si>
  <si>
    <t>BOILER 8 HEATER REBUILD</t>
  </si>
  <si>
    <t>00006021-0000</t>
  </si>
  <si>
    <t>PRECIPITATOR WIRES IN UNIT NO.8</t>
  </si>
  <si>
    <t>00006087-0005</t>
  </si>
  <si>
    <t>1963/64 ADDITIONS</t>
  </si>
  <si>
    <t>00006087-0006</t>
  </si>
  <si>
    <t>1964/65 ADDITIONS</t>
  </si>
  <si>
    <t>00006087-0007</t>
  </si>
  <si>
    <t>1965/66 ADDITIONS</t>
  </si>
  <si>
    <t>00006087-0008</t>
  </si>
  <si>
    <t>1966/67 ADDITIONS</t>
  </si>
  <si>
    <t>00006087-0009</t>
  </si>
  <si>
    <t>1967/68 ADDITIONS</t>
  </si>
  <si>
    <t>00006087-0010</t>
  </si>
  <si>
    <t>1968/69 ADDITIONS</t>
  </si>
  <si>
    <t>00006087-0011</t>
  </si>
  <si>
    <t>1969/70 ADDITIONS</t>
  </si>
  <si>
    <t>00006087-0012</t>
  </si>
  <si>
    <t>1970/71 ADDITIONS</t>
  </si>
  <si>
    <t>00006087-0013</t>
  </si>
  <si>
    <t>1971/72 ADDITIONS</t>
  </si>
  <si>
    <t>00006087-0014</t>
  </si>
  <si>
    <t>1972/73 ADDITIONS</t>
  </si>
  <si>
    <t>00006087-0015</t>
  </si>
  <si>
    <t>1973/74 ADDITIONS</t>
  </si>
  <si>
    <t>00006087-0016</t>
  </si>
  <si>
    <t>1974/75 ADDITIONS</t>
  </si>
  <si>
    <t>00006087-0017</t>
  </si>
  <si>
    <t>1975/76 ADDITIONS</t>
  </si>
  <si>
    <t>00006087-0018</t>
  </si>
  <si>
    <t>1976/77 ADDITIONS</t>
  </si>
  <si>
    <t>00006087-0019</t>
  </si>
  <si>
    <t>1977/78 ADDITIONS</t>
  </si>
  <si>
    <t>00006087-0020</t>
  </si>
  <si>
    <t>1978/79 ADDITIONS</t>
  </si>
  <si>
    <t>00006087-0021</t>
  </si>
  <si>
    <t>1979/80 ADDITIONS</t>
  </si>
  <si>
    <t>00006087-0022</t>
  </si>
  <si>
    <t>1980/81 ADDITIONS</t>
  </si>
  <si>
    <t>00006087-0023</t>
  </si>
  <si>
    <t>1981/82 ADDITIONS</t>
  </si>
  <si>
    <t>00006087-0024</t>
  </si>
  <si>
    <t>1982/83 ADDITIONS</t>
  </si>
  <si>
    <t>00006087-0025</t>
  </si>
  <si>
    <t>1983/84 ADDITIONS</t>
  </si>
  <si>
    <t>00006087-0029</t>
  </si>
  <si>
    <t>1987/88 ADDITIONS</t>
  </si>
  <si>
    <t>00006087-0030</t>
  </si>
  <si>
    <t>1988/89 ADDITIONS</t>
  </si>
  <si>
    <t>00006087-0031</t>
  </si>
  <si>
    <t>1989/90 ADDITIONS</t>
  </si>
  <si>
    <t>00006087-0032</t>
  </si>
  <si>
    <t>1990/91 ADDITIONS</t>
  </si>
  <si>
    <t>00006087-0033</t>
  </si>
  <si>
    <t>1991/92 ADDITIONS</t>
  </si>
  <si>
    <t>00006087-0034</t>
  </si>
  <si>
    <t>1992/93 ADDITIONS</t>
  </si>
  <si>
    <t>00006450-0000</t>
  </si>
  <si>
    <t>AUTOMATIC SPRINKER SYSTEM (OIL STOR</t>
  </si>
  <si>
    <t>00006450-0001</t>
  </si>
  <si>
    <t>1995/96 AUTOMATIC SPRINKLER SYSTEM</t>
  </si>
  <si>
    <t>00006450-0002</t>
  </si>
  <si>
    <t>1996/97 AUTOMATIC SPRINKLER SYSTEM</t>
  </si>
  <si>
    <t>00006947-0000</t>
  </si>
  <si>
    <t>UNIT #7 GENERATOR STATOR</t>
  </si>
  <si>
    <t>00006947-0001</t>
  </si>
  <si>
    <t>1996/97 ADDITIONS TO UNIT #7 STATOR</t>
  </si>
  <si>
    <t>00006988-0000</t>
  </si>
  <si>
    <t>#7 COOLING TOWER STAIRWAY</t>
  </si>
  <si>
    <t>00007354-0000</t>
  </si>
  <si>
    <t>WELL WATER TREATMENT SYSTEM</t>
  </si>
  <si>
    <t>00007354-0001</t>
  </si>
  <si>
    <t>1997/98 WELL WATER TREATMENT SYSTEM</t>
  </si>
  <si>
    <t>00008875-0000</t>
  </si>
  <si>
    <t>BURNER MANAGEMENT/COMBUSTION CONTRO</t>
  </si>
  <si>
    <t>00008875-0001</t>
  </si>
  <si>
    <t>2000/01 ADDITIONS TO BURNER MGMT SY</t>
  </si>
  <si>
    <t>00008875-0002</t>
  </si>
  <si>
    <t>2001/02 BURNER MANAGEMENT SYSTEM</t>
  </si>
  <si>
    <t>00008877-0000</t>
  </si>
  <si>
    <t>BOILER 7 WATERLANCES</t>
  </si>
  <si>
    <t>00009413-0000</t>
  </si>
  <si>
    <t>UNIT 7 PRECIPITATOR UPGRADE</t>
  </si>
  <si>
    <t>00009413-0001</t>
  </si>
  <si>
    <t>2001/02 UNIT 7 PRECIPITATOR UPGRADE</t>
  </si>
  <si>
    <t>00009413-0002</t>
  </si>
  <si>
    <t>2002/03 UNIT 7 PRECIPITATOR UPGRADE</t>
  </si>
  <si>
    <t>00009413-0003</t>
  </si>
  <si>
    <t>2003/04 UNIT 7 PRECIPITATOR UPGRADE</t>
  </si>
  <si>
    <t>00009413-0004</t>
  </si>
  <si>
    <t>2004/05 UNIT 7 PRECIPITATOR UPGRADE</t>
  </si>
  <si>
    <t>00009414-0000</t>
  </si>
  <si>
    <t>RDF BIN FIRE SPRINKLER SYSTEM</t>
  </si>
  <si>
    <t>00010016-0000</t>
  </si>
  <si>
    <t>DIESEL FIRE SUPPRESSION PUMP</t>
  </si>
  <si>
    <t>00010016-0001</t>
  </si>
  <si>
    <t>2006/07 DIESEL FIRE SUPPRESSION PUM</t>
  </si>
  <si>
    <t>00010113-0000</t>
  </si>
  <si>
    <t>GT1 CONTROL SYSTEM UPGRADE</t>
  </si>
  <si>
    <t>00010113-0001</t>
  </si>
  <si>
    <t>2007/08 GT1 CONTROL SYSTEM UPGRADE</t>
  </si>
  <si>
    <t>00010113-0002</t>
  </si>
  <si>
    <t>2008/09 GT1 CONTROL SYSTEM UPGRADE</t>
  </si>
  <si>
    <t>00010113-0003</t>
  </si>
  <si>
    <t>2009/10 GT1 CONTROL SYSTEM UPGRADE</t>
  </si>
  <si>
    <t>00010190-0000</t>
  </si>
  <si>
    <t>COAL YARD SPRINKLER SYSTEM</t>
  </si>
  <si>
    <t>00010190-0001</t>
  </si>
  <si>
    <t>2008/09 COAL YARD SPRINKLER SYSTEM</t>
  </si>
  <si>
    <t>00010192-0000</t>
  </si>
  <si>
    <t>POWER PLANT PASSENGER ELEVATOR</t>
  </si>
  <si>
    <t>00010285-0000</t>
  </si>
  <si>
    <t>UNIT #8 MERCURY EMMISSION MONITOR</t>
  </si>
  <si>
    <t>00010286-0000</t>
  </si>
  <si>
    <t>UNIT #8 BOILER TUBE REPLACEMENT</t>
  </si>
  <si>
    <t>00010286-0001</t>
  </si>
  <si>
    <t>2009/10 UNIT #8 BOILER TUBE REPLACE</t>
  </si>
  <si>
    <t>00010605-0000</t>
  </si>
  <si>
    <t>UNIT 8 WATERWALL</t>
  </si>
  <si>
    <t>00005847-0000</t>
  </si>
  <si>
    <t>LAND OWNED BY ELECTRIC UTILITY FUND</t>
  </si>
  <si>
    <t>00009841-0000</t>
  </si>
  <si>
    <t>DAYTON AVENUE SUBSTATION MODIFICATI</t>
  </si>
  <si>
    <t>00009841-0002</t>
  </si>
  <si>
    <t>2004/05 DAYTON AVENUE SUBSTATION</t>
  </si>
  <si>
    <t>00010747-0000</t>
  </si>
  <si>
    <t>HEAT PUMP REPLACEMENT FOR UNIT #1 #2 #3</t>
  </si>
  <si>
    <t>00010286-0002</t>
  </si>
  <si>
    <t>00010666-0000</t>
  </si>
  <si>
    <t>FEEDWATER HEATER REPLACEMENT</t>
  </si>
  <si>
    <t>CWIP</t>
  </si>
  <si>
    <t>will be G</t>
  </si>
  <si>
    <t>00010516-0000</t>
  </si>
  <si>
    <t>GT2 ANTI-ICING CONTROL SYSTEM</t>
  </si>
  <si>
    <t>00005925-0003</t>
  </si>
  <si>
    <t>1992/93 ELECTRIC CONTRIBUTION</t>
  </si>
  <si>
    <t>G&amp;A</t>
  </si>
  <si>
    <t>00005925-0006</t>
  </si>
  <si>
    <t>1993/94 ELECTRIC CONTRIBUTION</t>
  </si>
  <si>
    <t>00010264-0000</t>
  </si>
  <si>
    <t>MODULAR IN-PLANT OFFICE/SERVER ROOM</t>
  </si>
  <si>
    <t>00009427-0000</t>
  </si>
  <si>
    <t>ARC FM AUTOMATED MAPPING/FACILITIES</t>
  </si>
  <si>
    <t>00009427-0001</t>
  </si>
  <si>
    <t>2001/02 ARC FM MAPPING SYSTEM</t>
  </si>
  <si>
    <t>00009429-0000</t>
  </si>
  <si>
    <t>HTE CLICK2GOV INTERNET APPLICATION</t>
  </si>
  <si>
    <t>00009519-0000</t>
  </si>
  <si>
    <t>CLICK2GOV INTERNET APPLICATION</t>
  </si>
  <si>
    <t>00010334-0000</t>
  </si>
  <si>
    <t>REMITTANCE PROCESSING SYSTEM</t>
  </si>
  <si>
    <t>00010566-0000</t>
  </si>
  <si>
    <t>HP PROLIANT DL380 G7 FILE SERVER (O</t>
  </si>
  <si>
    <t>00002356-0000</t>
  </si>
  <si>
    <t>CARHOE IN COAL YARD</t>
  </si>
  <si>
    <t>00002412-0000</t>
  </si>
  <si>
    <t>GEARED HEAD ENGINE LATH</t>
  </si>
  <si>
    <t>00002495-0000</t>
  </si>
  <si>
    <t>SCAFFOLD MOD BA3020 TEL AIR LFT MAI</t>
  </si>
  <si>
    <t>00002496-0000</t>
  </si>
  <si>
    <t>FORK LIFT TRUCK, 3000 CAP. CLARK MO</t>
  </si>
  <si>
    <t>00002505-0000</t>
  </si>
  <si>
    <t>MILL SPRING ADJ WRENCH - #8 MILL AR</t>
  </si>
  <si>
    <t>00002506-0000</t>
  </si>
  <si>
    <t>CHADWICK-HELMUTH 192 VIB ANAL - INS</t>
  </si>
  <si>
    <t>00002514-0000</t>
  </si>
  <si>
    <t>AIR COMPRESSOR, #7 INSTR AIR COMP -</t>
  </si>
  <si>
    <t>00002550-0000</t>
  </si>
  <si>
    <t>MATERIAL STORAGE EQUIPMENT</t>
  </si>
  <si>
    <t>00002825-0000</t>
  </si>
  <si>
    <t>RELAY TEST KIT SSR-78</t>
  </si>
  <si>
    <t>00002829-0000</t>
  </si>
  <si>
    <t>UPRIGHT SCAFFOLD #8 ESP</t>
  </si>
  <si>
    <t>00002845-0000</t>
  </si>
  <si>
    <t>DYNAMIC FREQUENCY RELAY TESTER, EPO</t>
  </si>
  <si>
    <t>00002846-0000</t>
  </si>
  <si>
    <t>MULTI-AMP CB8130 HIGH CURRENT TEST</t>
  </si>
  <si>
    <t>00002854-0000</t>
  </si>
  <si>
    <t>MODEL 830250 MICRO OHM METER</t>
  </si>
  <si>
    <t>00002855-0000</t>
  </si>
  <si>
    <t>SOLID STATE RELAY TEST SET SSR-78</t>
  </si>
  <si>
    <t>00006210-0000</t>
  </si>
  <si>
    <t>SHAMROCK PIPE TOOLS MODEL 20HK GAS</t>
  </si>
  <si>
    <t>00006579-0000</t>
  </si>
  <si>
    <t>TENNANT 140 ESB ELECTRIC SWEEPER</t>
  </si>
  <si>
    <t>00006606-0000</t>
  </si>
  <si>
    <t>HLT-065-60 BISHAMON TABLIFT W/ 36"</t>
  </si>
  <si>
    <t>00007152-0000</t>
  </si>
  <si>
    <t>MODEL V-24 DAKE JOHNSON VERTICAL BA</t>
  </si>
  <si>
    <t>00007658-0000</t>
  </si>
  <si>
    <t>MODEL CSL20N ELECTRIC SCISSOR LIFT</t>
  </si>
  <si>
    <t>00008161-0000</t>
  </si>
  <si>
    <t>1989 CLARK MODEL TM25 FORKLIFT</t>
  </si>
  <si>
    <t>00008546-0000</t>
  </si>
  <si>
    <t>SHERMAN &amp; REILLY MODEL #ATCC-111 AI</t>
  </si>
  <si>
    <t>00009223-0000</t>
  </si>
  <si>
    <t>VIP-4H POWER MONITOR</t>
  </si>
  <si>
    <t>00009403-0000</t>
  </si>
  <si>
    <t>MASTERLIGN LASER SHAFT ALIGNMENT SY</t>
  </si>
  <si>
    <t>00009404-0000</t>
  </si>
  <si>
    <t>ATLAS COPCO AIR27602.00 COMPRESSOR</t>
  </si>
  <si>
    <t>00009405-0000</t>
  </si>
  <si>
    <t>UNIT 7 10-KVA INVERTER</t>
  </si>
  <si>
    <t>00009457-0000</t>
  </si>
  <si>
    <t>HAZARD HAMLET ELECTRIC SAFETY SIMUL</t>
  </si>
  <si>
    <t>00009459-0000</t>
  </si>
  <si>
    <t>DISPLAY/EXHIBIT CASE</t>
  </si>
  <si>
    <t>00009530-0000</t>
  </si>
  <si>
    <t>HYPERTHERM MAX 100 PLASMA CUTTING S</t>
  </si>
  <si>
    <t>00009532-0000</t>
  </si>
  <si>
    <t>EMPIRE PRO-FINISH PRESSURE BLAST SY</t>
  </si>
  <si>
    <t>00009677-0000</t>
  </si>
  <si>
    <t>HAZARD HAMLET LIGHTWEIGHT DISPLAY</t>
  </si>
  <si>
    <t>00009680-0000</t>
  </si>
  <si>
    <t>1996 GEHL 553 ROUGH TERRAIN FORKLIF</t>
  </si>
  <si>
    <t>00009695-0000</t>
  </si>
  <si>
    <t>AMERICAN TURNMASTER 15" X 30" LATHE</t>
  </si>
  <si>
    <t>00009774-0000</t>
  </si>
  <si>
    <t>AMS 100 POINT SYSTEM</t>
  </si>
  <si>
    <t>00009936-0000</t>
  </si>
  <si>
    <t>LANIER WIDE-DOCUMENT COPIER</t>
  </si>
  <si>
    <t>00010043-0000</t>
  </si>
  <si>
    <t>WREN 1 1/2" SQ DRIVE HYDRAULIC TORQ</t>
  </si>
  <si>
    <t>00010052-0000</t>
  </si>
  <si>
    <t>MEGGER DIGITAL MICROHMMETER WITH TE</t>
  </si>
  <si>
    <t>00010053-0000</t>
  </si>
  <si>
    <t>MEGGER THREE-PHASE TTR TEST SET</t>
  </si>
  <si>
    <t>00010054-0000</t>
  </si>
  <si>
    <t>DOBLE TDR100 CIRCUIT BREAKER TEST S</t>
  </si>
  <si>
    <t>00010056-0000</t>
  </si>
  <si>
    <t>RADIODETECTION PDL KIT 2 WITH ACCES</t>
  </si>
  <si>
    <t>00010059-0000</t>
  </si>
  <si>
    <t>EAGLE 4-CHANNEL VOLTAGE &amp; CURRENT R</t>
  </si>
  <si>
    <t>00010060-0000</t>
  </si>
  <si>
    <t>00010101-0000</t>
  </si>
  <si>
    <t>IUP FAULT WIZARD 10KV PRIMARY FAULT</t>
  </si>
  <si>
    <t>00010120-0000</t>
  </si>
  <si>
    <t>OPTALIGN LASER PLUS SHAFT ALIGNMENT</t>
  </si>
  <si>
    <t>00010125-0000</t>
  </si>
  <si>
    <t>MEGGER BITE 3 BATTERY IMPEDANCE TES</t>
  </si>
  <si>
    <t>00010131-0000</t>
  </si>
  <si>
    <t>DILO SF6 BREAKER ANALYZER</t>
  </si>
  <si>
    <t>00010133-0000</t>
  </si>
  <si>
    <t>OMICRON CMC256-6 PROTECTION TEST PA</t>
  </si>
  <si>
    <t>00010139-0000</t>
  </si>
  <si>
    <t>OMICRON CMA 156 CURRENT AMPLIFIER</t>
  </si>
  <si>
    <t>00010194-0000</t>
  </si>
  <si>
    <t>MOBILE EQUIPMENT SHELTER</t>
  </si>
  <si>
    <t>00010206-0000</t>
  </si>
  <si>
    <t>FLUKE 9 HZ THERMAL IMAGING CAMERA</t>
  </si>
  <si>
    <t>00010213-0000</t>
  </si>
  <si>
    <t>OTDR TEST UNIT</t>
  </si>
  <si>
    <t>00010219-0000</t>
  </si>
  <si>
    <t>MEGGER S1-1052/2 10KV INSULATION RE</t>
  </si>
  <si>
    <t>00010220-0000</t>
  </si>
  <si>
    <t>E440 EAGLE CLASS WIRELESS POWER QUA</t>
  </si>
  <si>
    <t>00010310-0000</t>
  </si>
  <si>
    <t>SERIES 5000 SILICA ANALYZER</t>
  </si>
  <si>
    <t>00010311-0000</t>
  </si>
  <si>
    <t>KTO: ANALYZER S-5000 HR ORTHOPHOS</t>
  </si>
  <si>
    <t>00010316-0000</t>
  </si>
  <si>
    <t>WATTHOUR MODEL 2150 AUTOMATED TEST</t>
  </si>
  <si>
    <t>00010317-0000</t>
  </si>
  <si>
    <t>NOBLES AUTO SCRUBBER</t>
  </si>
  <si>
    <t>00010439-0000</t>
  </si>
  <si>
    <t>RADIODETECTION RD8000 KIT WITH 10 W</t>
  </si>
  <si>
    <t>00010446-0000</t>
  </si>
  <si>
    <t>FLUKE FLK-TI32 THERMAL IMAGER</t>
  </si>
  <si>
    <t>00010448-0000</t>
  </si>
  <si>
    <t>AMI SODIUM ANALYZER</t>
  </si>
  <si>
    <t>00010462-0000</t>
  </si>
  <si>
    <t>JVC GY-HM750U PRO HD CAMCORDER</t>
  </si>
  <si>
    <t>00010463-0000</t>
  </si>
  <si>
    <t>00010528-0000</t>
  </si>
  <si>
    <t>ROTARY STYLE REMOTE RACKING SYSTEM</t>
  </si>
  <si>
    <t>00010529-0000</t>
  </si>
  <si>
    <t>WATT-HOUR COMPARATOR METER TEST SYS</t>
  </si>
  <si>
    <t>00010532-0000</t>
  </si>
  <si>
    <t>RADIODETECTION PL KIT WITH 3 WATT T</t>
  </si>
  <si>
    <t>00010531-0000</t>
  </si>
  <si>
    <t>CANON IMAGERUNNER ADVANCE C5045 COL</t>
  </si>
  <si>
    <t>00006017-0047</t>
  </si>
  <si>
    <t>2000/01 COMMUNICATION LINES</t>
  </si>
  <si>
    <t>00006017-0055</t>
  </si>
  <si>
    <t>2001/02 COMMUNICATION LINES</t>
  </si>
  <si>
    <t>00006017-0062</t>
  </si>
  <si>
    <t>2002/03 COMMUNICATION LINES</t>
  </si>
  <si>
    <t>00006017-0087</t>
  </si>
  <si>
    <t>2006/07 COMMUNICATION LINES</t>
  </si>
  <si>
    <t>00006230-0000</t>
  </si>
  <si>
    <t>ELECTRIC DISTRIBUTION BUILDING</t>
  </si>
  <si>
    <t>00006230-0004</t>
  </si>
  <si>
    <t>WILDECK MEZZANINE FOR SUBSTATION RO</t>
  </si>
  <si>
    <t>00008876-0000</t>
  </si>
  <si>
    <t>SCADA SYSTEM UPGRADE</t>
  </si>
  <si>
    <t>00008876-0001</t>
  </si>
  <si>
    <t>2000/01 SCADA SYSTEM UPGRADE</t>
  </si>
  <si>
    <t>00008876-0002</t>
  </si>
  <si>
    <t>2001/02 SCADA SYSTEM UPGRADE</t>
  </si>
  <si>
    <t>00008876-0003</t>
  </si>
  <si>
    <t>00008876-0004</t>
  </si>
  <si>
    <t>2008/09 SCADA SYSTEM UPGRADE</t>
  </si>
  <si>
    <t>00008876-0005</t>
  </si>
  <si>
    <t>2009/10 SCADA SYSTEM UPGRADE</t>
  </si>
  <si>
    <t>00006022-0000</t>
  </si>
  <si>
    <t>POLE STORAGE YARD</t>
  </si>
  <si>
    <t>00006022-0001</t>
  </si>
  <si>
    <t>SECURITY FENCING FOR POLE STORAGE Y</t>
  </si>
  <si>
    <t>00006022-0002</t>
  </si>
  <si>
    <t>SALES TAX PAID ON POLE STORAGE YARD</t>
  </si>
  <si>
    <t>00006449-0000</t>
  </si>
  <si>
    <t>ELECT DISTRIBUTION WORKCENTER PARKI</t>
  </si>
  <si>
    <t>00006948-0000</t>
  </si>
  <si>
    <t>WIDE AREA FIBER OPTICS NETWORK</t>
  </si>
  <si>
    <t>00007356-0006</t>
  </si>
  <si>
    <t>LANDIS &amp; GYR SCADA EQUIPMENT</t>
  </si>
  <si>
    <t>00009909-0000</t>
  </si>
  <si>
    <t>ELECT DISTRIBUTION FIBER OPTIC WIDE</t>
  </si>
  <si>
    <t>00009909-0001</t>
  </si>
  <si>
    <t>2005/06 FIBER OPTIC WIDE AREA METWO</t>
  </si>
  <si>
    <t>00009909-0002</t>
  </si>
  <si>
    <t>2006/07 FIBER OPTIC WIDE AREA NETWO</t>
  </si>
  <si>
    <t>00010738-0000</t>
  </si>
  <si>
    <t>POWER PLANT SCADA SYSTEM UPGRADE</t>
  </si>
  <si>
    <t>00010672-0000</t>
  </si>
  <si>
    <t>THERMAL IMAGING CAMERA FLUKE T132</t>
  </si>
  <si>
    <t>00010726-0000</t>
  </si>
  <si>
    <t>HAZARD HAMLET ELECTRIC NEW GENERATION</t>
  </si>
  <si>
    <t>00010732-0000</t>
  </si>
  <si>
    <t>POWER PLANT COPIER</t>
  </si>
  <si>
    <t>00010739-0000</t>
  </si>
  <si>
    <t>00010737-0000</t>
  </si>
  <si>
    <t>ELECTRIC ADMINISTRATION BREAKROOM CABINET</t>
  </si>
  <si>
    <t>00009910-0000</t>
  </si>
  <si>
    <t>161 KV TIE LINE/INTERCONNECTION - A</t>
  </si>
  <si>
    <t>will be T</t>
  </si>
  <si>
    <t>00009910-0003</t>
  </si>
  <si>
    <t>2005/06 161 KV TIE LINE/INTERCONNEC</t>
  </si>
  <si>
    <t>00009910-0009</t>
  </si>
  <si>
    <t>2006/07 161 KV TIE LINE/INTERCONNEC</t>
  </si>
  <si>
    <t>00009910-0013</t>
  </si>
  <si>
    <t>2008/09 161 KV TIE LINE/INTERCONNEC</t>
  </si>
  <si>
    <t>00009910-0015</t>
  </si>
  <si>
    <t>2009/10 161 KV TIE LINE/INTERCONNEC</t>
  </si>
  <si>
    <t>00009910-0017</t>
  </si>
  <si>
    <t>2010/11 161 KV TIE LINE/INTERCONNEC</t>
  </si>
  <si>
    <t>00009910-0019</t>
  </si>
  <si>
    <t>2011/12 161 KV TIE LINE/INTERCONNEC</t>
  </si>
  <si>
    <t>00009910-0021</t>
  </si>
  <si>
    <t>2012/13 161 KV TIE LINE/INTERCONNEC</t>
  </si>
  <si>
    <t>00009910-0001</t>
  </si>
  <si>
    <t>161 KV TIE LINE EASEMENTS</t>
  </si>
  <si>
    <t>T</t>
  </si>
  <si>
    <t>00009910-0002</t>
  </si>
  <si>
    <t>2005/06 161 KV TIE LINE EASEMENTS</t>
  </si>
  <si>
    <t>00009910-0008</t>
  </si>
  <si>
    <t>2006/07 161 KV TIE LINE EASEMENTS</t>
  </si>
  <si>
    <t>00009910-0011</t>
  </si>
  <si>
    <t>2007/08 161 KV TIE LINE EASEMENTS</t>
  </si>
  <si>
    <t>00009910-0012</t>
  </si>
  <si>
    <t>2008/09 161 KV TIE LINE EASEMENTS</t>
  </si>
  <si>
    <t>00009910-0014</t>
  </si>
  <si>
    <t>2009/10 161 KV TIE LINE EASEMENTS</t>
  </si>
  <si>
    <t>00009910-0016</t>
  </si>
  <si>
    <t>2010/11 161 KV TIE LINE EASEMENTS</t>
  </si>
  <si>
    <t>00009910-0018</t>
  </si>
  <si>
    <t>2011/12 161 KV TIE LINE EASEMENTS</t>
  </si>
  <si>
    <t>00010283-0002</t>
  </si>
  <si>
    <t>2009/10 STANGE IN-TOWN 161 LV TIE L</t>
  </si>
  <si>
    <t>00005850-0000</t>
  </si>
  <si>
    <t>TRANSMISSION LINE M (90/91)</t>
  </si>
  <si>
    <t>00005851-0000</t>
  </si>
  <si>
    <t>TRANSMISSION LINE C (90/91)</t>
  </si>
  <si>
    <t>00005852-0000</t>
  </si>
  <si>
    <t>69 KV TIE LINE TO ISU (91/92)</t>
  </si>
  <si>
    <t>00005852-0001</t>
  </si>
  <si>
    <t>69 KV TIE LINE TO ISU (92/93)</t>
  </si>
  <si>
    <t>00005852-0002</t>
  </si>
  <si>
    <t>69 KV TIE LINE TO ISU (93/94)</t>
  </si>
  <si>
    <t>00006034-0000</t>
  </si>
  <si>
    <t>TIE-LINE CONTROL EQUIPMENT - 1990/9</t>
  </si>
  <si>
    <t>00006034-0001</t>
  </si>
  <si>
    <t>00006034-0002</t>
  </si>
  <si>
    <t>00006034-0003</t>
  </si>
  <si>
    <t>1993/94 ADDITIONS</t>
  </si>
  <si>
    <t>00006034-0004</t>
  </si>
  <si>
    <t>1994/95 TIE-LINE CONTROL ADDITIONS</t>
  </si>
  <si>
    <t>00006034-0005</t>
  </si>
  <si>
    <t>1995 96 TIE-LINE CONTROL ADDITIONS</t>
  </si>
  <si>
    <t>00009910-0004</t>
  </si>
  <si>
    <t>161/69 KV POWER AUTOTRANSFORMER</t>
  </si>
  <si>
    <t>00009910-0005</t>
  </si>
  <si>
    <t>00009910-0006</t>
  </si>
  <si>
    <t>STANGE ROAD 161/69 KV SUBSTATION</t>
  </si>
  <si>
    <t>00009910-0007</t>
  </si>
  <si>
    <t>AMES POWER PLANT 161/69 KV SUBSTATI</t>
  </si>
  <si>
    <t>00009910-0010</t>
  </si>
  <si>
    <t>2006/07 AMES POWER PLANT SUBSTATION</t>
  </si>
  <si>
    <t>00010283-0000</t>
  </si>
  <si>
    <t>STANGE IN-TOWN 161 KV TIE LINE</t>
  </si>
  <si>
    <t>00010283-0001</t>
  </si>
  <si>
    <t>2009/10 STANGE IN-TOWN 161 KV TIE L</t>
  </si>
  <si>
    <t>00009910-0020</t>
  </si>
  <si>
    <t>2012/13 161 KV TIE LINE EASEMENTS</t>
  </si>
  <si>
    <t>00006017-0125</t>
  </si>
  <si>
    <t>OVHD TRANSMISSION IMPROVEMENTS</t>
  </si>
  <si>
    <t>00007356-0001</t>
  </si>
  <si>
    <t>69 KV SIEMENS SF6 CIRCUIT BREAKER</t>
  </si>
  <si>
    <t>D</t>
  </si>
  <si>
    <t>00007356-0002</t>
  </si>
  <si>
    <t>00009841-0001</t>
  </si>
  <si>
    <t>DAYTON AVENUE SUBSTATION TRANSFORME</t>
  </si>
  <si>
    <t>00010284-0000</t>
  </si>
  <si>
    <t>TOP-O-HOLLOW SUBSTATION 69 KV ADDIT</t>
  </si>
  <si>
    <t>00005849-0000</t>
  </si>
  <si>
    <t>ONTARIO TRANSFORMER (90/91)</t>
  </si>
  <si>
    <t>00005849-0001</t>
  </si>
  <si>
    <t>ONTARIO TRANSFORMER (91/92)</t>
  </si>
  <si>
    <t>00006017-0000</t>
  </si>
  <si>
    <t>ELECTRICAL DISTRIBUTION SYSTEM BALA</t>
  </si>
  <si>
    <t>00006017-0001</t>
  </si>
  <si>
    <t>1993/94 OVERHEAD SYSTEM IMPROVEMENT</t>
  </si>
  <si>
    <t>00006017-0006</t>
  </si>
  <si>
    <t>1994/95 OVERHEAD SYSTEM IMPROVEMENT</t>
  </si>
  <si>
    <t>00006017-0012</t>
  </si>
  <si>
    <t>1995/96 OVERHEAD SYSTEM IMPROVEMENT</t>
  </si>
  <si>
    <t>00006017-0018</t>
  </si>
  <si>
    <t>1996/97 OVERHEAD SYSTEM IMPROVEMENT</t>
  </si>
  <si>
    <t>00006017-0024</t>
  </si>
  <si>
    <t>1997/98 OVERHEAD SYSTEM IMPROVEMENT</t>
  </si>
  <si>
    <t>00006017-0030</t>
  </si>
  <si>
    <t>1998/99 OVERHEAD SYSTEM IMPROVEMENT</t>
  </si>
  <si>
    <t>00006017-0036</t>
  </si>
  <si>
    <t>1999/00 OVERHEAD SYSTEM IMPROVEMENT</t>
  </si>
  <si>
    <t>00006017-0042</t>
  </si>
  <si>
    <t>2000/01 OVERHEAD SYSTEM IMPROVEMENT</t>
  </si>
  <si>
    <t>00006017-0049</t>
  </si>
  <si>
    <t>2001/02 OVERHEAD SYSTEM IMPROVEMENT</t>
  </si>
  <si>
    <t>00006017-0056</t>
  </si>
  <si>
    <t>2002/03 OVERHEAD SYSTEM IMPROVEMENT</t>
  </si>
  <si>
    <t>00006017-0063</t>
  </si>
  <si>
    <t>2003/04 OVERHEAD SYSTEM IMPROVEMENT</t>
  </si>
  <si>
    <t>00006017-0069</t>
  </si>
  <si>
    <t>2004/05 OVERHEAD SYSTEM IMPROVEMENT</t>
  </si>
  <si>
    <t>00006017-0075</t>
  </si>
  <si>
    <t>2005/06 OVERHEAD SYSTEM IMPROVEMENT</t>
  </si>
  <si>
    <t>00006017-0081</t>
  </si>
  <si>
    <t>2006/07 OVERHEAD SYSTEM IMPROVEMENT</t>
  </si>
  <si>
    <t>00006017-0088</t>
  </si>
  <si>
    <t>2007/08 OVERHEAD SYSTEM IMPROVEMENT</t>
  </si>
  <si>
    <t>00006017-0094</t>
  </si>
  <si>
    <t>2008/09 OVERHEAD SYSTEM IMPROVEMENT</t>
  </si>
  <si>
    <t>00006017-0100</t>
  </si>
  <si>
    <t>2009/10 OVERHEAD SYSTEM IMPROVEMENT</t>
  </si>
  <si>
    <t>00006017-0107</t>
  </si>
  <si>
    <t>2010/11 OVERHEAD SYSTEM IMPROVEMENT</t>
  </si>
  <si>
    <t>00006017-0113</t>
  </si>
  <si>
    <t>2011/12 OVERHEAD SYSTEM IMPROVEMENT</t>
  </si>
  <si>
    <t>00006023-0000</t>
  </si>
  <si>
    <t>STANGE TRANSFORMER</t>
  </si>
  <si>
    <t>00006023-0001</t>
  </si>
  <si>
    <t>1994/95 STANGE TRANSFORMER ADDITION</t>
  </si>
  <si>
    <t>00006950-0000</t>
  </si>
  <si>
    <t>DAYTON AVE SUBSTATION TRANSFORMER</t>
  </si>
  <si>
    <t>00006950-0001</t>
  </si>
  <si>
    <t>1996/97 ADDITIONS TO DAYTON AVE SUB</t>
  </si>
  <si>
    <t>00006950-0002</t>
  </si>
  <si>
    <t>1997/98 DAYTON AVENUE SUBSTATION TR</t>
  </si>
  <si>
    <t>00007356-0000</t>
  </si>
  <si>
    <t>VET MED SUBSTATION TRANSFORMER</t>
  </si>
  <si>
    <t>00007356-0004</t>
  </si>
  <si>
    <t>1997/98 VET MED SUBSTATION TRANSFOR</t>
  </si>
  <si>
    <t>00007356-0005</t>
  </si>
  <si>
    <t>1998/99 VET MED SUBSTATION ADDITION</t>
  </si>
  <si>
    <t>00007356-0007</t>
  </si>
  <si>
    <t>2009/10 VET MED SUBSTATION EXPANSIO</t>
  </si>
  <si>
    <t>00007356-0008</t>
  </si>
  <si>
    <t>2010/11 VET MED SUBSTATION EXPANSIO</t>
  </si>
  <si>
    <t>00007356-0009</t>
  </si>
  <si>
    <t>2011/12 VET MED SUBSTATION EXPANSIO</t>
  </si>
  <si>
    <t>00010389-0000</t>
  </si>
  <si>
    <t>LOAD MANAGEMENT SYSTEM UPGRADE</t>
  </si>
  <si>
    <t>00010582-0000</t>
  </si>
  <si>
    <t>MILSOFT OUTAGE MANAGEMENT SOFTWARE</t>
  </si>
  <si>
    <t>00008725-0000</t>
  </si>
  <si>
    <t>PORCHE/2 CALL HANDLING SYSTEM</t>
  </si>
  <si>
    <t>00008725-0001</t>
  </si>
  <si>
    <t>PORCHE CALL HANDLING SYSTEM UPGRADE</t>
  </si>
  <si>
    <t>00008725-0002</t>
  </si>
  <si>
    <t>PORCHE CALL-HANDLING SYSTEM UPGRADE</t>
  </si>
  <si>
    <t>00006017-0002</t>
  </si>
  <si>
    <t>1993/94 UNDERGROUND SYSTEM IMPROVEM</t>
  </si>
  <si>
    <t>00006017-0003</t>
  </si>
  <si>
    <t>1993/94 UNDERGROUND SERVICE LATERAL</t>
  </si>
  <si>
    <t>00006017-0004</t>
  </si>
  <si>
    <t>1993/94 SUBDIVISION LIGHTING</t>
  </si>
  <si>
    <t>00006017-0005</t>
  </si>
  <si>
    <t>1993/94 LIGHTING IMPROVEMENTS</t>
  </si>
  <si>
    <t>00006017-0007</t>
  </si>
  <si>
    <t>1994/95 UNDERGROUND SYSTEM IMPROVEM</t>
  </si>
  <si>
    <t>00006017-0008</t>
  </si>
  <si>
    <t>1994/95 UNDERGROUND SERVICE LATERAL</t>
  </si>
  <si>
    <t>00006017-0009</t>
  </si>
  <si>
    <t>1994/95 OVERHEAD SERVICE DROPS</t>
  </si>
  <si>
    <t>00006017-0010</t>
  </si>
  <si>
    <t>1994/95 SUBDIVISION LIGHTING</t>
  </si>
  <si>
    <t>00006017-0011</t>
  </si>
  <si>
    <t>1994/95 LIGHTING IMPROVEMENTS</t>
  </si>
  <si>
    <t>00006017-0013</t>
  </si>
  <si>
    <t>1995/96 UNDERGROUND SYSTEM IMPROVEM</t>
  </si>
  <si>
    <t>00006017-0014</t>
  </si>
  <si>
    <t>1995/96 UNDERGROUND SERVICE LATERAL</t>
  </si>
  <si>
    <t>00006017-0015</t>
  </si>
  <si>
    <t>1995/96 OVERHEAD SERVICE DROPS</t>
  </si>
  <si>
    <t>00006017-0016</t>
  </si>
  <si>
    <t>1995/96 SUBDIVISION LIGHTING</t>
  </si>
  <si>
    <t>00006017-0017</t>
  </si>
  <si>
    <t>1995/96 LIGHTING IMPROVEMENTS</t>
  </si>
  <si>
    <t>00006017-0019</t>
  </si>
  <si>
    <t>1996/97 UNDERGROUND SYSTEM IMPROVEM</t>
  </si>
  <si>
    <t>00006017-0020</t>
  </si>
  <si>
    <t>1996/97 UNDERGROUND SERVICE LATERAL</t>
  </si>
  <si>
    <t>00006017-0021</t>
  </si>
  <si>
    <t>1996/97 OVERHEAD SERVICE DROPS</t>
  </si>
  <si>
    <t>00006017-0022</t>
  </si>
  <si>
    <t>1996/97 SUBDIVISION LIGHTING</t>
  </si>
  <si>
    <t>00006017-0023</t>
  </si>
  <si>
    <t>1996/97 LIGHTING IMPROVEMENTS</t>
  </si>
  <si>
    <t>00006017-0025</t>
  </si>
  <si>
    <t>1997/98 UNDERGROUND SYSTEM IMPROVEM</t>
  </si>
  <si>
    <t>00006017-0026</t>
  </si>
  <si>
    <t>1997/98 UNDERGROUND SERVICE LATERAL</t>
  </si>
  <si>
    <t>00006017-0027</t>
  </si>
  <si>
    <t>1997/98 OVERHEAD SERVICE LATERALS</t>
  </si>
  <si>
    <t>00006017-0028</t>
  </si>
  <si>
    <t>1997/98 SUBDIVISION LIGHTING</t>
  </si>
  <si>
    <t>00006017-0029</t>
  </si>
  <si>
    <t>1997/98 LIGHTING IMPROVEMENTS</t>
  </si>
  <si>
    <t>00006017-0031</t>
  </si>
  <si>
    <t>1998/99 UNDERGROUND SYSTEM IMPROVEM</t>
  </si>
  <si>
    <t>00006017-0032</t>
  </si>
  <si>
    <t>1998/99 UNDERGROUND SERVICE LATERAL</t>
  </si>
  <si>
    <t>00006017-0033</t>
  </si>
  <si>
    <t>1998/99 OVERHEAD SERVICE DROPS</t>
  </si>
  <si>
    <t>00006017-0034</t>
  </si>
  <si>
    <t>1998/99 SUBDIVISION LIGHTING</t>
  </si>
  <si>
    <t>00006017-0035</t>
  </si>
  <si>
    <t>1998/99 OTHER LIGHTING IMPROVEMENTS</t>
  </si>
  <si>
    <t>00006017-0037</t>
  </si>
  <si>
    <t>1999/00 UNDERGROUND SYSTEM IMPROVEM</t>
  </si>
  <si>
    <t>00006017-0038</t>
  </si>
  <si>
    <t>1999/00 UNDERGROUND SERVICE LATERAL</t>
  </si>
  <si>
    <t>00006017-0039</t>
  </si>
  <si>
    <t>1999/00 OVERHEAD SERVICE DROPS</t>
  </si>
  <si>
    <t>00006017-0040</t>
  </si>
  <si>
    <t>1999/00 SUBDIVISION LIGHTING</t>
  </si>
  <si>
    <t>00006017-0041</t>
  </si>
  <si>
    <t>1999/00 OTHER LIGHTING IMPROVEMENTS</t>
  </si>
  <si>
    <t>00006017-0043</t>
  </si>
  <si>
    <t>2000/01 UNDERGROUND SYSTEM IMPROVEM</t>
  </si>
  <si>
    <t>00006017-0044</t>
  </si>
  <si>
    <t>2000/01 UNDERGROUND SERVICE LATERAL</t>
  </si>
  <si>
    <t>00006017-0045</t>
  </si>
  <si>
    <t>2000/01 OVERHEAD SERVICE DROPS</t>
  </si>
  <si>
    <t>00006017-0046</t>
  </si>
  <si>
    <t>2000/01 SUBDIVISION LIGHTING</t>
  </si>
  <si>
    <t>00006017-0048</t>
  </si>
  <si>
    <t>2000/01 OTHER LIGHTING IMPROVEMENTS</t>
  </si>
  <si>
    <t>00006017-0050</t>
  </si>
  <si>
    <t>2001/02 UNDERGROUND SYSTEM IMPROVEM</t>
  </si>
  <si>
    <t>00006017-0051</t>
  </si>
  <si>
    <t>2001/02 UNDERGROUND SERVICE LATERAL</t>
  </si>
  <si>
    <t>00006017-0052</t>
  </si>
  <si>
    <t>2001/02 OVERHEAD SERVICE DROPS</t>
  </si>
  <si>
    <t>00006017-0053</t>
  </si>
  <si>
    <t>2001/02 SUBDIVISION LIGHTING</t>
  </si>
  <si>
    <t>00006017-0054</t>
  </si>
  <si>
    <t>2001/02 OTHER LIGHTING IMPROVEMENTS</t>
  </si>
  <si>
    <t>00006017-0057</t>
  </si>
  <si>
    <t>2002/03 UNDERGROUND SYSTEM IMPROVEM</t>
  </si>
  <si>
    <t>00006017-0058</t>
  </si>
  <si>
    <t>2002/03 UNDERGROUND SERVICE LATERAL</t>
  </si>
  <si>
    <t>00006017-0059</t>
  </si>
  <si>
    <t>2002/03 OVERHEAD SERVICE DROPS</t>
  </si>
  <si>
    <t>00006017-0060</t>
  </si>
  <si>
    <t>2002/03 SUBDIVISION LIGHTING</t>
  </si>
  <si>
    <t>00006017-0061</t>
  </si>
  <si>
    <t>2002/03 OTHER LIGHTING IMPROVEMENTS</t>
  </si>
  <si>
    <t>00006017-0064</t>
  </si>
  <si>
    <t>2003/04 UNDERGROUND SYSTEM IMPROVEM</t>
  </si>
  <si>
    <t>00006017-0065</t>
  </si>
  <si>
    <t>2003/04 UNDERGROUND SERVICE LATERAL</t>
  </si>
  <si>
    <t>00006017-0066</t>
  </si>
  <si>
    <t>2003/04 OVERHEAD SERVICE DROPS</t>
  </si>
  <si>
    <t>00006017-0067</t>
  </si>
  <si>
    <t>2003/04 SUBDIVISION LIGHTING</t>
  </si>
  <si>
    <t>00006017-0068</t>
  </si>
  <si>
    <t>2003/04 OTHER LIGHTING IMPROVEMENTS</t>
  </si>
  <si>
    <t>00006017-0070</t>
  </si>
  <si>
    <t>2004/05 UNDERGROUND SYSTEM IMPROVEM</t>
  </si>
  <si>
    <t>00006017-0071</t>
  </si>
  <si>
    <t>2004/05 UNDERGROUND SERVICE LATERAL</t>
  </si>
  <si>
    <t>00006017-0072</t>
  </si>
  <si>
    <t>2004/05 OVERHEAD SERVICE DROPS</t>
  </si>
  <si>
    <t>00006017-0073</t>
  </si>
  <si>
    <t>2004/05 SUBDIVISION LIGHTING</t>
  </si>
  <si>
    <t>00006017-0074</t>
  </si>
  <si>
    <t>2005/05 OTHER LIGHTING IMPROVEMENTS</t>
  </si>
  <si>
    <t>00006017-0076</t>
  </si>
  <si>
    <t>2005/06 UNDERGROUND SYSTEM IMPROVEM</t>
  </si>
  <si>
    <t>00006017-0077</t>
  </si>
  <si>
    <t>2005/06 UNDERGROUND SERVICE LATERAL</t>
  </si>
  <si>
    <t>00006017-0078</t>
  </si>
  <si>
    <t>2005/06 OVERHEAD SERVICE DROPS</t>
  </si>
  <si>
    <t>00006017-0079</t>
  </si>
  <si>
    <t>2005/06 SUBDIVISION LIGHTING</t>
  </si>
  <si>
    <t>00006017-0080</t>
  </si>
  <si>
    <t>2005/06 OTHER LIGHTING IMPROVEMENTS</t>
  </si>
  <si>
    <t>00006017-0082</t>
  </si>
  <si>
    <t>2006/07 UNDERGROUND SYSTEM IMPROVEM</t>
  </si>
  <si>
    <t>00006017-0083</t>
  </si>
  <si>
    <t>2006/07 UNDERGROUND SERVICE LATERAL</t>
  </si>
  <si>
    <t>00006017-0084</t>
  </si>
  <si>
    <t>2006/07 OVERHEAD SERVICE DROPS</t>
  </si>
  <si>
    <t>00006017-0085</t>
  </si>
  <si>
    <t>2006/07 SUBDIVISION LIGHTING</t>
  </si>
  <si>
    <t>00006017-0086</t>
  </si>
  <si>
    <t>2006/07 OTHER LIGHTING IMPROVEMENTS</t>
  </si>
  <si>
    <t>00006017-0089</t>
  </si>
  <si>
    <t>2007/08 UNDERGROUND SYSTEM IMPROVEM</t>
  </si>
  <si>
    <t>00006017-0090</t>
  </si>
  <si>
    <t>2007/08 UNDERGROUND SERVICE LATERAL</t>
  </si>
  <si>
    <t>00006017-0091</t>
  </si>
  <si>
    <t>2007/08 OVERHEAD SERVICE DROPS</t>
  </si>
  <si>
    <t>00006017-0092</t>
  </si>
  <si>
    <t>2007/08 SUBDIVISION LIGHTING</t>
  </si>
  <si>
    <t>00006017-0093</t>
  </si>
  <si>
    <t>2007/08 OTHER LIGHTING IMPROVEMENTS</t>
  </si>
  <si>
    <t>00006017-0095</t>
  </si>
  <si>
    <t>2008/09 UNDERGROUND SYSTEM IMPROVEM</t>
  </si>
  <si>
    <t>00006017-0096</t>
  </si>
  <si>
    <t>2008/09 UNDERGROUND SERVICE LATERAL</t>
  </si>
  <si>
    <t>00006017-0097</t>
  </si>
  <si>
    <t>2008/09 OVERHEAD SERVICE DROPS</t>
  </si>
  <si>
    <t>00006017-0098</t>
  </si>
  <si>
    <t>2008/09 SUBDIVISION LIGHTING</t>
  </si>
  <si>
    <t>00006017-0099</t>
  </si>
  <si>
    <t>2008/09 OTHER LIGHTING IMPROVEMENTS</t>
  </si>
  <si>
    <t>00006017-0101</t>
  </si>
  <si>
    <t>2009/10 UNDERGROUND SYSTEM IMPROVEM</t>
  </si>
  <si>
    <t>00006017-0102</t>
  </si>
  <si>
    <t>2009/10 UNDERGROUND SERVICE LATERAL</t>
  </si>
  <si>
    <t>00006017-0103</t>
  </si>
  <si>
    <t>2009/10 OVERHEAD SERVICE DROPS</t>
  </si>
  <si>
    <t>00006017-0104</t>
  </si>
  <si>
    <t>2009/10 SUBDIVISION LIGHTING</t>
  </si>
  <si>
    <t>00006017-0105</t>
  </si>
  <si>
    <t>2009/10 OTHER LIGHTING IMPROVEMENTS</t>
  </si>
  <si>
    <t>00006017-0106</t>
  </si>
  <si>
    <t>2009/10 COMMUNICATION LINES</t>
  </si>
  <si>
    <t>00006017-0108</t>
  </si>
  <si>
    <t>2010/11 UNDERGROUND SYSTEM IMPROVEM</t>
  </si>
  <si>
    <t>00006017-0109</t>
  </si>
  <si>
    <t>2010/11 UNDERGROUND SERVICE LATERAL</t>
  </si>
  <si>
    <t>00006017-0110</t>
  </si>
  <si>
    <t>2010/11 OVERHEAD SERVICE DROPS</t>
  </si>
  <si>
    <t>00006017-0111</t>
  </si>
  <si>
    <t>2010/11 SUBDIVISION LIGHTING</t>
  </si>
  <si>
    <t>00006017-0112</t>
  </si>
  <si>
    <t>2010/11 OTHER LIGHTING IMPROVEMENTS</t>
  </si>
  <si>
    <t>00006017-0114</t>
  </si>
  <si>
    <t>2011/12 UNDERGROUND SYSTEM IMPROVEM</t>
  </si>
  <si>
    <t>00006017-0115</t>
  </si>
  <si>
    <t>2011/12 UNDERGROUND SERVICE LATERAL</t>
  </si>
  <si>
    <t>00006017-0116</t>
  </si>
  <si>
    <t>2011/12 OVERHEAD SERVICE DROPS</t>
  </si>
  <si>
    <t>00006017-0117</t>
  </si>
  <si>
    <t>2011/12 SUBDIVISION LIGHTING</t>
  </si>
  <si>
    <t>00006017-0118</t>
  </si>
  <si>
    <t>2011/12 OTHER LIGHTING IMPROVEMENTS</t>
  </si>
  <si>
    <t>00006018-0000</t>
  </si>
  <si>
    <t>LOAD MANAGEMENT SYSTEM (1991/92)</t>
  </si>
  <si>
    <t>00006018-0001</t>
  </si>
  <si>
    <t>1992/93 ADDITIONS TO LOAD MANAGEMEN</t>
  </si>
  <si>
    <t>00006018-0002</t>
  </si>
  <si>
    <t>1993/94 ADDITIONS TO LOAD MANAGEMEN</t>
  </si>
  <si>
    <t>00006018-0003</t>
  </si>
  <si>
    <t>1994/95 ADDITIONS TO LOAD MANAGEMEN</t>
  </si>
  <si>
    <t>00006018-0004</t>
  </si>
  <si>
    <t>1995/96 ADDITIONS TO LOAD MANAGEMEN</t>
  </si>
  <si>
    <t>00006018-0005</t>
  </si>
  <si>
    <t>1996/97 ADDITIONS TO LOAD MANAGEMEN</t>
  </si>
  <si>
    <t>00007356-0003</t>
  </si>
  <si>
    <t>13.8 KV METAL-CLAD, 60 HZ, SWITCHGE</t>
  </si>
  <si>
    <t>00010393-0000</t>
  </si>
  <si>
    <t>DOWNTOWN NETWORK 13.8 KV CONVERSION</t>
  </si>
  <si>
    <t>00010582-0001</t>
  </si>
  <si>
    <t>00010733-0000</t>
  </si>
  <si>
    <t>ELECTRIC DISTRIBUTION 29 INDIVIDUAL TRANSFORMERS</t>
  </si>
  <si>
    <t>00010734-0000</t>
  </si>
  <si>
    <t>POWER PLANT TRANSMITTER</t>
  </si>
  <si>
    <t>00006017-0119</t>
  </si>
  <si>
    <t>OVERHEAD SYSTEM IMPROVEMENTS</t>
  </si>
  <si>
    <t>00006017-0120</t>
  </si>
  <si>
    <t>UNDERGROUND SYSTEM IMPROVEMENTS</t>
  </si>
  <si>
    <t>00006017-0121</t>
  </si>
  <si>
    <t>UNDERGROUND SERVICE LATERAL</t>
  </si>
  <si>
    <t>00006017-0122</t>
  </si>
  <si>
    <t>OVERHEAD SERVICE DROPS</t>
  </si>
  <si>
    <t>00006017-0123</t>
  </si>
  <si>
    <t>SUBDIVISION LIGHTING</t>
  </si>
  <si>
    <t>00006017-0124</t>
  </si>
  <si>
    <t>OTHER LIGHTING IMPROVEMENTS</t>
  </si>
  <si>
    <t>00007356-0010</t>
  </si>
  <si>
    <t>VET MED SUBSTATION VOLTAGE</t>
  </si>
  <si>
    <t>Fleet assets</t>
  </si>
  <si>
    <t>Transmission</t>
  </si>
  <si>
    <t>Distribution</t>
  </si>
  <si>
    <t>Production</t>
  </si>
  <si>
    <t>General &amp; Administrative</t>
  </si>
  <si>
    <t xml:space="preserve">CWIP </t>
  </si>
  <si>
    <t>Transmission percentage</t>
  </si>
  <si>
    <t>Distribution percentage</t>
  </si>
  <si>
    <t>00010828-0000</t>
  </si>
  <si>
    <t>PLANT SUBSTATION SWITCHGEAR 2013/14</t>
  </si>
  <si>
    <t>CONVERTING POWER PLANT FROM COAL TO</t>
  </si>
  <si>
    <t>PLANT SWITCHYARD RELAY/CONTROLS 201</t>
  </si>
  <si>
    <t>VET MED SUBSTATION FEEDER EXTENSION</t>
  </si>
  <si>
    <t>00010829-0000</t>
  </si>
  <si>
    <t>00010832-0000</t>
  </si>
  <si>
    <t>00010864-0000</t>
  </si>
  <si>
    <t>00010853-0000</t>
  </si>
  <si>
    <t>E440 EAGLE CLASS WIRELESS FOR ELECT</t>
  </si>
  <si>
    <t>00009910-0022</t>
  </si>
  <si>
    <t>2013/14 161 KV TIE LINE EASEMENTS</t>
  </si>
  <si>
    <t>00008876-0006</t>
  </si>
  <si>
    <t>SCADA SYSTEM UPGRADE 2013/14</t>
  </si>
  <si>
    <t>00010787-0000</t>
  </si>
  <si>
    <t>SECURITY CAMERAS FOR ELECTRIC DISTR</t>
  </si>
  <si>
    <t>ELECTRIC METER SITE ANALYZER</t>
  </si>
  <si>
    <t>VACUUM BOTTLE TESTER-ELECTRIC</t>
  </si>
  <si>
    <t>00010858-0000</t>
  </si>
  <si>
    <t>00010859-0000</t>
  </si>
  <si>
    <t>00010878-0000</t>
  </si>
  <si>
    <t>00010879-0000</t>
  </si>
  <si>
    <t>GARAGE DOOR REPLACEMENT (1) - ELECTRIC</t>
  </si>
  <si>
    <t>GARAGE DOOR REPLACEMENT (2) - ELECTRIC</t>
  </si>
  <si>
    <t>00006017-0126</t>
  </si>
  <si>
    <t>00006017-0127</t>
  </si>
  <si>
    <t>00006017-0128</t>
  </si>
  <si>
    <t>00009910-0023</t>
  </si>
  <si>
    <t>2013/14 161 KV TIE LINE/INTERCONNEC</t>
  </si>
  <si>
    <t>agrees to "CA-All Capital Assets without Disposals 2014.pdf"</t>
  </si>
  <si>
    <t>Depreciation on disposed assets:</t>
  </si>
  <si>
    <t>CONVERTING POWER PLANT COAL TO NATU</t>
  </si>
  <si>
    <t>PLANT 69KV SWITCHYARD RELAY/CONTROL</t>
  </si>
  <si>
    <t>#8 PRECIPITATOR CONTROL REPLACEMENT</t>
  </si>
  <si>
    <t>UNIT #7 FEEDWATER HEATER REPLACEMEN</t>
  </si>
  <si>
    <t>HARBER ROAD SUBSTATION EXPANSION 20</t>
  </si>
  <si>
    <t>SCADA SYSTEM UPGRADE 2014/15</t>
  </si>
  <si>
    <t>GROUND TRANSFORMER-500KVA 4061DELTA</t>
  </si>
  <si>
    <t>00010828-0001</t>
  </si>
  <si>
    <t>00010829-0001</t>
  </si>
  <si>
    <t>00011004-0000</t>
  </si>
  <si>
    <t>00011005-0000</t>
  </si>
  <si>
    <t>00011006-0000</t>
  </si>
  <si>
    <t>00008876-0007</t>
  </si>
  <si>
    <t>00011012-0000</t>
  </si>
  <si>
    <t>PLANT SUBSTATION SWITCHGEAR 2014/15</t>
  </si>
  <si>
    <t>ELECTRIC TRANSFORMERS(5 UNITS)300 K</t>
  </si>
  <si>
    <t>ELECTRIC TRANSFORMERS(5)500 KVA THR</t>
  </si>
  <si>
    <t>ELECTRIC TRANSFORMERS(2)750 KVA THR</t>
  </si>
  <si>
    <t>00010864-0001</t>
  </si>
  <si>
    <t>00010887-0000</t>
  </si>
  <si>
    <t>00010888-0000</t>
  </si>
  <si>
    <t>00010889-0000</t>
  </si>
  <si>
    <t>00010832-0001</t>
  </si>
  <si>
    <t>2014/15 161 KV TIE LINE/INTERCONNEC</t>
  </si>
  <si>
    <t>#7 &amp; #8 COOLING TOWER REPLACE-ENGIN</t>
  </si>
  <si>
    <t>00009910-0024</t>
  </si>
  <si>
    <t>00011007-0000</t>
  </si>
  <si>
    <t>TRANSFER TURNS RATIO HAND HELD TEST</t>
  </si>
  <si>
    <t>00011010-0000</t>
  </si>
  <si>
    <t>x</t>
  </si>
  <si>
    <t>DONE THROUGH HERE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</si>
</sst>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0"/>
  </numFmts>
  <fonts count="26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MS Sans Serif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2"/>
      <name val="Arial MT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6" applyNumberFormat="0" applyAlignment="0" applyProtection="0"/>
    <xf numFmtId="0" fontId="14" fillId="21" borderId="7" applyNumberFormat="0" applyAlignment="0" applyProtection="0"/>
    <xf numFmtId="0" fontId="15" fillId="21" borderId="6" applyNumberFormat="0" applyAlignment="0" applyProtection="0"/>
    <xf numFmtId="0" fontId="16" fillId="0" borderId="8" applyNumberFormat="0" applyFill="0" applyAlignment="0" applyProtection="0"/>
    <xf numFmtId="0" fontId="17" fillId="22" borderId="9" applyNumberFormat="0" applyAlignment="0" applyProtection="0"/>
    <xf numFmtId="0" fontId="18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1" fillId="39" borderId="0" applyNumberFormat="0" applyBorder="0" applyAlignment="0" applyProtection="0"/>
    <xf numFmtId="165" fontId="22" fillId="0" borderId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1">
    <xf numFmtId="0" fontId="0" fillId="0" borderId="0" xfId="0"/>
    <xf numFmtId="0" fontId="23" fillId="0" borderId="0" xfId="1" applyFont="1" applyAlignment="1">
      <alignment horizontal="center" vertical="center" wrapText="1"/>
    </xf>
    <xf numFmtId="43" fontId="23" fillId="0" borderId="1" xfId="1" applyNumberFormat="1" applyFont="1" applyBorder="1" applyAlignment="1">
      <alignment horizontal="center" vertical="center" wrapText="1"/>
    </xf>
    <xf numFmtId="43" fontId="23" fillId="0" borderId="0" xfId="1" applyNumberFormat="1" applyFont="1" applyAlignment="1">
      <alignment horizontal="center" vertical="center" wrapText="1"/>
    </xf>
    <xf numFmtId="0" fontId="23" fillId="12" borderId="0" xfId="1" applyFont="1" applyFill="1"/>
    <xf numFmtId="43" fontId="23" fillId="12" borderId="0" xfId="1" applyNumberFormat="1" applyFont="1" applyFill="1"/>
    <xf numFmtId="0" fontId="23" fillId="0" borderId="0" xfId="1" applyFont="1" applyFill="1"/>
    <xf numFmtId="43" fontId="23" fillId="0" borderId="0" xfId="1" applyNumberFormat="1" applyFont="1" applyFill="1"/>
    <xf numFmtId="0" fontId="23" fillId="0" borderId="0" xfId="1" applyFont="1"/>
    <xf numFmtId="0" fontId="23" fillId="15" borderId="0" xfId="1" applyFont="1" applyFill="1"/>
    <xf numFmtId="43" fontId="23" fillId="15" borderId="0" xfId="1" applyNumberFormat="1" applyFont="1" applyFill="1"/>
    <xf numFmtId="0" fontId="23" fillId="0" borderId="0" xfId="1" applyFont="1" applyAlignment="1">
      <alignment wrapText="1"/>
    </xf>
    <xf numFmtId="0" fontId="23" fillId="15" borderId="0" xfId="0" applyFont="1" applyFill="1" applyAlignment="1">
      <alignment horizontal="left"/>
    </xf>
    <xf numFmtId="43" fontId="23" fillId="15" borderId="0" xfId="32" applyFont="1" applyFill="1"/>
    <xf numFmtId="0" fontId="23" fillId="11" borderId="0" xfId="1" applyFont="1" applyFill="1"/>
    <xf numFmtId="43" fontId="23" fillId="11" borderId="0" xfId="1" applyNumberFormat="1" applyFont="1" applyFill="1"/>
    <xf numFmtId="0" fontId="23" fillId="10" borderId="0" xfId="1" applyFont="1" applyFill="1"/>
    <xf numFmtId="43" fontId="23" fillId="10" borderId="0" xfId="1" applyNumberFormat="1" applyFont="1" applyFill="1"/>
    <xf numFmtId="0" fontId="23" fillId="11" borderId="0" xfId="0" applyFont="1" applyFill="1" applyAlignment="1">
      <alignment horizontal="left"/>
    </xf>
    <xf numFmtId="43" fontId="23" fillId="11" borderId="0" xfId="32" applyFont="1" applyFill="1"/>
    <xf numFmtId="0" fontId="23" fillId="13" borderId="0" xfId="1" applyFont="1" applyFill="1"/>
    <xf numFmtId="43" fontId="23" fillId="13" borderId="0" xfId="1" applyNumberFormat="1" applyFont="1" applyFill="1"/>
    <xf numFmtId="0" fontId="23" fillId="14" borderId="0" xfId="1" applyFont="1" applyFill="1"/>
    <xf numFmtId="43" fontId="23" fillId="14" borderId="0" xfId="1" applyNumberFormat="1" applyFont="1" applyFill="1"/>
    <xf numFmtId="0" fontId="23" fillId="14" borderId="0" xfId="0" applyFont="1" applyFill="1" applyAlignment="1">
      <alignment horizontal="left"/>
    </xf>
    <xf numFmtId="43" fontId="23" fillId="0" borderId="0" xfId="1" applyNumberFormat="1" applyFont="1"/>
    <xf numFmtId="0" fontId="23" fillId="0" borderId="0" xfId="1" applyFont="1" applyAlignment="1">
      <alignment horizontal="right"/>
    </xf>
    <xf numFmtId="43" fontId="23" fillId="16" borderId="0" xfId="1" applyNumberFormat="1" applyFont="1" applyFill="1"/>
    <xf numFmtId="0" fontId="23" fillId="16" borderId="0" xfId="1" applyFont="1" applyFill="1"/>
    <xf numFmtId="0" fontId="23" fillId="0" borderId="0" xfId="1" applyFont="1" applyFill="1" applyAlignment="1">
      <alignment horizontal="right"/>
    </xf>
    <xf numFmtId="43" fontId="23" fillId="0" borderId="1" xfId="1" applyNumberFormat="1" applyFont="1" applyBorder="1"/>
    <xf numFmtId="43" fontId="23" fillId="0" borderId="2" xfId="1" applyNumberFormat="1" applyFont="1" applyBorder="1"/>
    <xf numFmtId="43" fontId="23" fillId="0" borderId="0" xfId="1" applyNumberFormat="1" applyFont="1" applyFill="1" applyBorder="1"/>
    <xf numFmtId="43" fontId="23" fillId="0" borderId="0" xfId="32" applyFont="1"/>
    <xf numFmtId="43" fontId="23" fillId="0" borderId="1" xfId="1" applyNumberFormat="1" applyFont="1" applyFill="1" applyBorder="1"/>
    <xf numFmtId="164" fontId="23" fillId="0" borderId="0" xfId="2" applyNumberFormat="1" applyFont="1"/>
    <xf numFmtId="164" fontId="23" fillId="0" borderId="1" xfId="2" applyNumberFormat="1" applyFont="1" applyBorder="1"/>
    <xf numFmtId="164" fontId="23" fillId="0" borderId="2" xfId="1" applyNumberFormat="1" applyFont="1" applyBorder="1"/>
    <xf numFmtId="0" fontId="23" fillId="12" borderId="0" xfId="0" applyFont="1" applyFill="1" applyAlignment="1">
      <alignment horizontal="left"/>
    </xf>
    <xf numFmtId="43" fontId="23" fillId="12" borderId="0" xfId="32" applyFont="1" applyFill="1"/>
    <xf numFmtId="43" fontId="23" fillId="14" borderId="0" xfId="32" applyFont="1" applyFill="1"/>
  </cellXfs>
  <cellStyles count="77">
    <cellStyle name="20% - Accent1" xfId="51" builtinId="30" customBuiltin="1"/>
    <cellStyle name="20% - Accent2" xfId="55" builtinId="34" customBuiltin="1"/>
    <cellStyle name="20% - Accent2 2" xfId="3"/>
    <cellStyle name="20% - Accent3" xfId="59" builtinId="38" customBuiltin="1"/>
    <cellStyle name="20% - Accent3 2" xfId="4"/>
    <cellStyle name="20% - Accent4" xfId="63" builtinId="42" customBuiltin="1"/>
    <cellStyle name="20% - Accent5" xfId="67" builtinId="46" customBuiltin="1"/>
    <cellStyle name="20% - Accent5 2" xfId="5"/>
    <cellStyle name="20% - Accent6" xfId="71" builtinId="50" customBuiltin="1"/>
    <cellStyle name="20% - Accent6 2" xfId="6"/>
    <cellStyle name="40% - Accent1" xfId="52" builtinId="31" customBuiltin="1"/>
    <cellStyle name="40% - Accent1 2" xfId="7"/>
    <cellStyle name="40% - Accent2" xfId="56" builtinId="35" customBuiltin="1"/>
    <cellStyle name="40% - Accent2 2" xfId="8"/>
    <cellStyle name="40% - Accent3" xfId="60" builtinId="39" customBuiltin="1"/>
    <cellStyle name="40% - Accent3 2" xfId="9"/>
    <cellStyle name="40% - Accent4" xfId="64" builtinId="43" customBuiltin="1"/>
    <cellStyle name="40% - Accent5" xfId="68" builtinId="47" customBuiltin="1"/>
    <cellStyle name="40% - Accent6" xfId="72" builtinId="51" customBuiltin="1"/>
    <cellStyle name="40% - Accent6 2" xfId="10"/>
    <cellStyle name="60% - Accent1" xfId="53" builtinId="32" customBuiltin="1"/>
    <cellStyle name="60% - Accent2" xfId="57" builtinId="36" customBuiltin="1"/>
    <cellStyle name="60% - Accent3" xfId="61" builtinId="40" customBuiltin="1"/>
    <cellStyle name="60% - Accent4" xfId="65" builtinId="44" customBuiltin="1"/>
    <cellStyle name="60% - Accent5" xfId="69" builtinId="48" customBuiltin="1"/>
    <cellStyle name="60% - Accent6" xfId="73" builtinId="52" customBuiltin="1"/>
    <cellStyle name="Accent1" xfId="50" builtinId="29" customBuiltin="1"/>
    <cellStyle name="Accent2" xfId="54" builtinId="33" customBuiltin="1"/>
    <cellStyle name="Accent3" xfId="58" builtinId="37" customBuiltin="1"/>
    <cellStyle name="Accent4" xfId="62" builtinId="41" customBuiltin="1"/>
    <cellStyle name="Accent5" xfId="66" builtinId="45" customBuiltin="1"/>
    <cellStyle name="Accent6" xfId="70" builtinId="49" customBuiltin="1"/>
    <cellStyle name="Bad" xfId="39" builtinId="27" customBuiltin="1"/>
    <cellStyle name="Calculation" xfId="43" builtinId="22" customBuiltin="1"/>
    <cellStyle name="Check Cell" xfId="45" builtinId="23" customBuiltin="1"/>
    <cellStyle name="Comma" xfId="32" builtinId="3"/>
    <cellStyle name="Comma 2" xfId="11"/>
    <cellStyle name="Comma 2 2" xfId="12"/>
    <cellStyle name="Comma 3" xfId="13"/>
    <cellStyle name="Comma 4" xfId="75"/>
    <cellStyle name="Currency 2" xfId="14"/>
    <cellStyle name="Currency 3" xfId="15"/>
    <cellStyle name="Currency 3 2" xfId="16"/>
    <cellStyle name="Currency 4" xfId="17"/>
    <cellStyle name="Explanatory Text" xfId="48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1" builtinId="20" customBuiltin="1"/>
    <cellStyle name="Linked Cell" xfId="44" builtinId="24" customBuiltin="1"/>
    <cellStyle name="Neutral" xfId="40" builtinId="28" customBuiltin="1"/>
    <cellStyle name="Normal" xfId="0" builtinId="0"/>
    <cellStyle name="Normal 10" xfId="74"/>
    <cellStyle name="Normal 2" xfId="18"/>
    <cellStyle name="Normal 2 2" xfId="19"/>
    <cellStyle name="Normal 2 3" xfId="20"/>
    <cellStyle name="Normal 3" xfId="21"/>
    <cellStyle name="Normal 3 2" xfId="22"/>
    <cellStyle name="Normal 3 3" xfId="23"/>
    <cellStyle name="Normal 4" xfId="1"/>
    <cellStyle name="Normal 4 2" xfId="24"/>
    <cellStyle name="Normal 5" xfId="25"/>
    <cellStyle name="Normal 5 2" xfId="26"/>
    <cellStyle name="Normal 6" xfId="27"/>
    <cellStyle name="Normal 7" xfId="28"/>
    <cellStyle name="Normal 8" xfId="29"/>
    <cellStyle name="Normal 9" xfId="30"/>
    <cellStyle name="Note" xfId="47" builtinId="10" customBuiltin="1"/>
    <cellStyle name="Output" xfId="42" builtinId="21" customBuiltin="1"/>
    <cellStyle name="Percent 2" xfId="31"/>
    <cellStyle name="Percent 3" xfId="2"/>
    <cellStyle name="Percent 4" xfId="76"/>
    <cellStyle name="Title" xfId="33" builtinId="15" customBuiltin="1"/>
    <cellStyle name="Total" xfId="49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00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1"/>
  <sheetViews>
    <sheetView tabSelected="1" zoomScale="90" zoomScaleNormal="90" workbookViewId="0">
      <pane ySplit="1" topLeftCell="A30" activePane="bottomLeft" state="frozen"/>
      <selection pane="bottomLeft" activeCell="H39" sqref="H39"/>
    </sheetView>
  </sheetViews>
  <sheetFormatPr defaultRowHeight="13.8"/>
  <cols>
    <col min="1" max="1" width="20" style="8" customWidth="1"/>
    <col min="2" max="2" width="47.6640625" style="8" bestFit="1" customWidth="1"/>
    <col min="3" max="3" width="19.44140625" style="25" bestFit="1" customWidth="1"/>
    <col min="4" max="4" width="17.33203125" style="25" bestFit="1" customWidth="1"/>
    <col min="5" max="5" width="18.88671875" style="25" customWidth="1"/>
    <col min="6" max="6" width="16.109375" style="25" bestFit="1" customWidth="1"/>
    <col min="7" max="7" width="8.88671875" style="8"/>
    <col min="8" max="8" width="37.88671875" style="8" customWidth="1"/>
    <col min="9" max="10" width="8.88671875" style="8"/>
    <col min="11" max="11" width="14.109375" style="8" bestFit="1" customWidth="1"/>
    <col min="12" max="16384" width="8.88671875" style="8"/>
  </cols>
  <sheetData>
    <row r="1" spans="1:11" s="1" customFormat="1" ht="27.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</row>
    <row r="2" spans="1:11">
      <c r="A2" s="4" t="s">
        <v>788</v>
      </c>
      <c r="B2" s="4" t="s">
        <v>790</v>
      </c>
      <c r="C2" s="5">
        <f>62883.95</f>
        <v>62883.95</v>
      </c>
      <c r="D2" s="5">
        <f>0</f>
        <v>0</v>
      </c>
      <c r="E2" s="5">
        <v>0</v>
      </c>
      <c r="F2" s="5">
        <f t="shared" ref="F2:F70" si="0">+C2-D2</f>
        <v>62883.95</v>
      </c>
      <c r="G2" s="4" t="s">
        <v>195</v>
      </c>
      <c r="H2" s="6"/>
      <c r="I2" s="6" t="s">
        <v>9</v>
      </c>
      <c r="J2" s="6"/>
      <c r="K2" s="7"/>
    </row>
    <row r="3" spans="1:11">
      <c r="A3" s="4" t="s">
        <v>793</v>
      </c>
      <c r="B3" s="4" t="s">
        <v>791</v>
      </c>
      <c r="C3" s="5">
        <f>951419.98</f>
        <v>951419.98</v>
      </c>
      <c r="D3" s="5">
        <v>0</v>
      </c>
      <c r="E3" s="5">
        <v>0</v>
      </c>
      <c r="F3" s="5">
        <f t="shared" si="0"/>
        <v>951419.98</v>
      </c>
      <c r="G3" s="4" t="s">
        <v>195</v>
      </c>
      <c r="H3" s="6"/>
      <c r="I3" s="6" t="s">
        <v>417</v>
      </c>
      <c r="J3" s="6"/>
      <c r="K3" s="7"/>
    </row>
    <row r="4" spans="1:11">
      <c r="A4" s="4" t="s">
        <v>795</v>
      </c>
      <c r="B4" s="4" t="s">
        <v>789</v>
      </c>
      <c r="C4" s="5">
        <f>293686.05</f>
        <v>293686.05</v>
      </c>
      <c r="D4" s="5">
        <v>0</v>
      </c>
      <c r="E4" s="5">
        <v>0</v>
      </c>
      <c r="F4" s="5">
        <f t="shared" si="0"/>
        <v>293686.05</v>
      </c>
      <c r="G4" s="4" t="s">
        <v>195</v>
      </c>
      <c r="H4" s="6"/>
      <c r="I4" s="6" t="s">
        <v>473</v>
      </c>
      <c r="J4" s="6"/>
      <c r="K4" s="7"/>
    </row>
    <row r="5" spans="1:11">
      <c r="A5" s="4" t="s">
        <v>826</v>
      </c>
      <c r="B5" s="38" t="s">
        <v>819</v>
      </c>
      <c r="C5" s="39">
        <v>5964768.3499999996</v>
      </c>
      <c r="D5" s="5">
        <v>0</v>
      </c>
      <c r="E5" s="5">
        <v>0</v>
      </c>
      <c r="F5" s="5">
        <f t="shared" ref="F5:F11" si="1">+C5-D5</f>
        <v>5964768.3499999996</v>
      </c>
      <c r="G5" s="4" t="s">
        <v>195</v>
      </c>
      <c r="H5" s="6" t="s">
        <v>848</v>
      </c>
      <c r="I5" s="6" t="s">
        <v>9</v>
      </c>
      <c r="J5" s="6"/>
      <c r="K5" s="7"/>
    </row>
    <row r="6" spans="1:11">
      <c r="A6" s="4" t="s">
        <v>827</v>
      </c>
      <c r="B6" s="38" t="s">
        <v>820</v>
      </c>
      <c r="C6" s="39">
        <v>491847.4</v>
      </c>
      <c r="D6" s="5">
        <v>0</v>
      </c>
      <c r="E6" s="5">
        <v>0</v>
      </c>
      <c r="F6" s="5">
        <f t="shared" si="1"/>
        <v>491847.4</v>
      </c>
      <c r="G6" s="4" t="s">
        <v>195</v>
      </c>
      <c r="H6" s="6" t="s">
        <v>848</v>
      </c>
      <c r="I6" s="6" t="s">
        <v>417</v>
      </c>
      <c r="J6" s="6"/>
      <c r="K6" s="7"/>
    </row>
    <row r="7" spans="1:11">
      <c r="A7" s="4" t="s">
        <v>828</v>
      </c>
      <c r="B7" s="38" t="s">
        <v>821</v>
      </c>
      <c r="C7" s="39">
        <v>9735.36</v>
      </c>
      <c r="D7" s="5">
        <v>0</v>
      </c>
      <c r="E7" s="5">
        <v>0</v>
      </c>
      <c r="F7" s="5">
        <f t="shared" si="1"/>
        <v>9735.36</v>
      </c>
      <c r="G7" s="4" t="s">
        <v>195</v>
      </c>
      <c r="H7" s="6" t="s">
        <v>848</v>
      </c>
      <c r="I7" s="6" t="s">
        <v>9</v>
      </c>
      <c r="J7" s="6"/>
      <c r="K7" s="7"/>
    </row>
    <row r="8" spans="1:11">
      <c r="A8" s="4" t="s">
        <v>829</v>
      </c>
      <c r="B8" s="38" t="s">
        <v>822</v>
      </c>
      <c r="C8" s="39">
        <v>243368.8</v>
      </c>
      <c r="D8" s="5">
        <v>0</v>
      </c>
      <c r="E8" s="5">
        <v>0</v>
      </c>
      <c r="F8" s="5">
        <f t="shared" si="1"/>
        <v>243368.8</v>
      </c>
      <c r="G8" s="4" t="s">
        <v>195</v>
      </c>
      <c r="H8" s="6" t="s">
        <v>848</v>
      </c>
      <c r="I8" s="6" t="s">
        <v>9</v>
      </c>
      <c r="J8" s="6"/>
      <c r="K8" s="7"/>
    </row>
    <row r="9" spans="1:11">
      <c r="A9" s="4" t="s">
        <v>830</v>
      </c>
      <c r="B9" s="38" t="s">
        <v>823</v>
      </c>
      <c r="C9" s="39">
        <v>298837.78000000003</v>
      </c>
      <c r="D9" s="5">
        <v>0</v>
      </c>
      <c r="E9" s="5">
        <v>0</v>
      </c>
      <c r="F9" s="5">
        <f t="shared" si="1"/>
        <v>298837.78000000003</v>
      </c>
      <c r="G9" s="4" t="s">
        <v>195</v>
      </c>
      <c r="H9" s="6" t="s">
        <v>848</v>
      </c>
      <c r="I9" s="6" t="s">
        <v>417</v>
      </c>
      <c r="J9" s="6"/>
      <c r="K9" s="7"/>
    </row>
    <row r="10" spans="1:11">
      <c r="A10" s="4" t="s">
        <v>845</v>
      </c>
      <c r="B10" s="38" t="s">
        <v>843</v>
      </c>
      <c r="C10" s="5">
        <f>59798.29</f>
        <v>59798.29</v>
      </c>
      <c r="D10" s="5">
        <v>0</v>
      </c>
      <c r="E10" s="5">
        <v>0</v>
      </c>
      <c r="F10" s="5">
        <f t="shared" si="1"/>
        <v>59798.29</v>
      </c>
      <c r="G10" s="4" t="s">
        <v>195</v>
      </c>
      <c r="H10" s="6" t="s">
        <v>848</v>
      </c>
      <c r="I10" s="6" t="s">
        <v>9</v>
      </c>
      <c r="J10" s="6"/>
      <c r="K10" s="7"/>
    </row>
    <row r="11" spans="1:11">
      <c r="A11" s="4" t="s">
        <v>837</v>
      </c>
      <c r="B11" s="38" t="s">
        <v>833</v>
      </c>
      <c r="C11" s="39">
        <v>719974.45</v>
      </c>
      <c r="D11" s="5">
        <v>0</v>
      </c>
      <c r="E11" s="5">
        <v>0</v>
      </c>
      <c r="F11" s="5">
        <f t="shared" si="1"/>
        <v>719974.45</v>
      </c>
      <c r="G11" s="4" t="s">
        <v>195</v>
      </c>
      <c r="H11" s="6" t="s">
        <v>848</v>
      </c>
      <c r="I11" s="6" t="s">
        <v>473</v>
      </c>
      <c r="J11" s="6"/>
      <c r="K11" s="7"/>
    </row>
    <row r="12" spans="1:11" s="11" customFormat="1">
      <c r="A12" s="9" t="s">
        <v>479</v>
      </c>
      <c r="B12" s="9" t="s">
        <v>480</v>
      </c>
      <c r="C12" s="10">
        <v>430429.64</v>
      </c>
      <c r="D12" s="10">
        <f>370169.44+17217.2+17217.2+17217.2</f>
        <v>421821.04000000004</v>
      </c>
      <c r="E12" s="10">
        <v>17217.2</v>
      </c>
      <c r="F12" s="10">
        <f t="shared" si="0"/>
        <v>8608.5999999999767</v>
      </c>
      <c r="G12" s="9" t="s">
        <v>473</v>
      </c>
      <c r="K12" s="7"/>
    </row>
    <row r="13" spans="1:11" s="11" customFormat="1">
      <c r="A13" s="9" t="s">
        <v>481</v>
      </c>
      <c r="B13" s="9" t="s">
        <v>482</v>
      </c>
      <c r="C13" s="10">
        <v>11718.87</v>
      </c>
      <c r="D13" s="10">
        <f>10005.29+489.59+489.59+489.6</f>
        <v>11474.070000000002</v>
      </c>
      <c r="E13" s="10">
        <v>489.6</v>
      </c>
      <c r="F13" s="10">
        <f t="shared" si="0"/>
        <v>244.79999999999927</v>
      </c>
      <c r="G13" s="9" t="s">
        <v>473</v>
      </c>
      <c r="K13" s="7"/>
    </row>
    <row r="14" spans="1:11" s="11" customFormat="1">
      <c r="A14" s="9" t="s">
        <v>483</v>
      </c>
      <c r="B14" s="9" t="s">
        <v>484</v>
      </c>
      <c r="C14" s="10">
        <v>145190.94</v>
      </c>
      <c r="D14" s="10">
        <v>145190.94</v>
      </c>
      <c r="E14" s="10">
        <v>0</v>
      </c>
      <c r="F14" s="10">
        <f t="shared" si="0"/>
        <v>0</v>
      </c>
      <c r="G14" s="9" t="s">
        <v>473</v>
      </c>
      <c r="K14" s="7"/>
    </row>
    <row r="15" spans="1:11" s="11" customFormat="1">
      <c r="A15" s="9" t="s">
        <v>485</v>
      </c>
      <c r="B15" s="9" t="s">
        <v>486</v>
      </c>
      <c r="C15" s="10">
        <v>138873.67000000001</v>
      </c>
      <c r="D15" s="10">
        <f>102766.49+5554.95+5554.95+5554.95</f>
        <v>119431.34</v>
      </c>
      <c r="E15" s="10">
        <v>5554.95</v>
      </c>
      <c r="F15" s="10">
        <f t="shared" si="0"/>
        <v>19442.330000000016</v>
      </c>
      <c r="G15" s="9" t="s">
        <v>473</v>
      </c>
      <c r="K15" s="7"/>
    </row>
    <row r="16" spans="1:11" s="11" customFormat="1">
      <c r="A16" s="9" t="s">
        <v>555</v>
      </c>
      <c r="B16" s="9" t="s">
        <v>556</v>
      </c>
      <c r="C16" s="10">
        <v>259032</v>
      </c>
      <c r="D16" s="10">
        <f>191683.68+10361.28+10361.28+10361.28</f>
        <v>222767.52</v>
      </c>
      <c r="E16" s="10">
        <v>10361.280000000001</v>
      </c>
      <c r="F16" s="10">
        <f t="shared" si="0"/>
        <v>36264.48000000001</v>
      </c>
      <c r="G16" s="9" t="s">
        <v>473</v>
      </c>
      <c r="K16" s="7"/>
    </row>
    <row r="17" spans="1:11" s="11" customFormat="1">
      <c r="A17" s="9" t="s">
        <v>557</v>
      </c>
      <c r="B17" s="9" t="s">
        <v>558</v>
      </c>
      <c r="C17" s="10">
        <v>61265.09</v>
      </c>
      <c r="D17" s="10">
        <f>45336.12+2450.61+2450.61+2450.61</f>
        <v>52687.950000000004</v>
      </c>
      <c r="E17" s="10">
        <f>2450.61</f>
        <v>2450.61</v>
      </c>
      <c r="F17" s="10">
        <f t="shared" si="0"/>
        <v>8577.1399999999921</v>
      </c>
      <c r="G17" s="9" t="s">
        <v>473</v>
      </c>
      <c r="K17" s="7"/>
    </row>
    <row r="18" spans="1:11" s="11" customFormat="1">
      <c r="A18" s="9" t="s">
        <v>559</v>
      </c>
      <c r="B18" s="9" t="s">
        <v>560</v>
      </c>
      <c r="C18" s="10">
        <v>52076.63</v>
      </c>
      <c r="D18" s="10">
        <f>38536.67+2083.07+2083.07+2083.07</f>
        <v>44785.88</v>
      </c>
      <c r="E18" s="10">
        <v>2083.0700000000002</v>
      </c>
      <c r="F18" s="10">
        <f t="shared" si="0"/>
        <v>7290.75</v>
      </c>
      <c r="G18" s="9" t="s">
        <v>473</v>
      </c>
      <c r="K18" s="7"/>
    </row>
    <row r="19" spans="1:11" s="11" customFormat="1">
      <c r="A19" s="9" t="s">
        <v>561</v>
      </c>
      <c r="B19" s="9" t="s">
        <v>562</v>
      </c>
      <c r="C19" s="10">
        <v>66917.490000000005</v>
      </c>
      <c r="D19" s="10">
        <f>49518.93+2676.7+2676.7+2676.7</f>
        <v>57549.029999999992</v>
      </c>
      <c r="E19" s="10">
        <v>2676.7</v>
      </c>
      <c r="F19" s="10">
        <f t="shared" si="0"/>
        <v>9368.4600000000137</v>
      </c>
      <c r="G19" s="9" t="s">
        <v>473</v>
      </c>
      <c r="K19" s="7"/>
    </row>
    <row r="20" spans="1:11" s="11" customFormat="1">
      <c r="A20" s="9" t="s">
        <v>487</v>
      </c>
      <c r="B20" s="9" t="s">
        <v>488</v>
      </c>
      <c r="C20" s="10">
        <v>72243.22</v>
      </c>
      <c r="D20" s="10">
        <f>50570.24+2889.73+2889.73+2889.73</f>
        <v>59239.430000000008</v>
      </c>
      <c r="E20" s="10">
        <v>2889.73</v>
      </c>
      <c r="F20" s="10">
        <f t="shared" si="0"/>
        <v>13003.789999999994</v>
      </c>
      <c r="G20" s="9" t="s">
        <v>473</v>
      </c>
      <c r="K20" s="7"/>
    </row>
    <row r="21" spans="1:11" s="11" customFormat="1">
      <c r="A21" s="9" t="s">
        <v>563</v>
      </c>
      <c r="B21" s="9" t="s">
        <v>564</v>
      </c>
      <c r="C21" s="10">
        <v>341616.92</v>
      </c>
      <c r="D21" s="10">
        <f>239131.81+13664.68+13664.68+13664.68</f>
        <v>280125.84999999998</v>
      </c>
      <c r="E21" s="10">
        <v>13664.68</v>
      </c>
      <c r="F21" s="10">
        <f t="shared" si="0"/>
        <v>61491.070000000007</v>
      </c>
      <c r="G21" s="9" t="s">
        <v>473</v>
      </c>
      <c r="K21" s="7"/>
    </row>
    <row r="22" spans="1:11" s="11" customFormat="1">
      <c r="A22" s="9" t="s">
        <v>565</v>
      </c>
      <c r="B22" s="9" t="s">
        <v>566</v>
      </c>
      <c r="C22" s="10">
        <v>63298.91</v>
      </c>
      <c r="D22" s="10">
        <f>44309.21+2531.96+2531.96+2531.96</f>
        <v>51905.09</v>
      </c>
      <c r="E22" s="10">
        <v>2531.96</v>
      </c>
      <c r="F22" s="10">
        <f t="shared" si="0"/>
        <v>11393.820000000007</v>
      </c>
      <c r="G22" s="9" t="s">
        <v>473</v>
      </c>
      <c r="K22" s="7"/>
    </row>
    <row r="23" spans="1:11" s="11" customFormat="1">
      <c r="A23" s="9" t="s">
        <v>567</v>
      </c>
      <c r="B23" s="9" t="s">
        <v>568</v>
      </c>
      <c r="C23" s="10">
        <v>3330.27</v>
      </c>
      <c r="D23" s="10">
        <f>2331.17+133.21+133.21+133.21</f>
        <v>2730.8</v>
      </c>
      <c r="E23" s="10">
        <v>133.21</v>
      </c>
      <c r="F23" s="10">
        <f t="shared" si="0"/>
        <v>599.4699999999998</v>
      </c>
      <c r="G23" s="9" t="s">
        <v>473</v>
      </c>
      <c r="K23" s="7"/>
    </row>
    <row r="24" spans="1:11" s="11" customFormat="1">
      <c r="A24" s="9" t="s">
        <v>569</v>
      </c>
      <c r="B24" s="9" t="s">
        <v>570</v>
      </c>
      <c r="C24" s="10">
        <v>70538.75</v>
      </c>
      <c r="D24" s="10">
        <f>49377.12+2821.55+2821.55+2821.55</f>
        <v>57841.770000000011</v>
      </c>
      <c r="E24" s="10">
        <v>2821.55</v>
      </c>
      <c r="F24" s="10">
        <f t="shared" si="0"/>
        <v>12696.979999999989</v>
      </c>
      <c r="G24" s="9" t="s">
        <v>473</v>
      </c>
      <c r="K24" s="7"/>
    </row>
    <row r="25" spans="1:11" s="11" customFormat="1">
      <c r="A25" s="9" t="s">
        <v>571</v>
      </c>
      <c r="B25" s="9" t="s">
        <v>572</v>
      </c>
      <c r="C25" s="10">
        <v>57361.1</v>
      </c>
      <c r="D25" s="10">
        <f>40152.72+2294.45+2294.45+2294.45</f>
        <v>47036.069999999992</v>
      </c>
      <c r="E25" s="10">
        <v>2294.4499999999998</v>
      </c>
      <c r="F25" s="10">
        <f t="shared" si="0"/>
        <v>10325.030000000006</v>
      </c>
      <c r="G25" s="9" t="s">
        <v>473</v>
      </c>
      <c r="K25" s="7"/>
    </row>
    <row r="26" spans="1:11" s="11" customFormat="1">
      <c r="A26" s="9" t="s">
        <v>489</v>
      </c>
      <c r="B26" s="9" t="s">
        <v>490</v>
      </c>
      <c r="C26" s="10">
        <v>93005.92</v>
      </c>
      <c r="D26" s="10">
        <f>61383.88+3720.24+3720.24+3720.24</f>
        <v>72544.600000000006</v>
      </c>
      <c r="E26" s="10">
        <v>3720.24</v>
      </c>
      <c r="F26" s="10">
        <f t="shared" si="0"/>
        <v>20461.319999999992</v>
      </c>
      <c r="G26" s="9" t="s">
        <v>473</v>
      </c>
      <c r="K26" s="7"/>
    </row>
    <row r="27" spans="1:11" s="11" customFormat="1">
      <c r="A27" s="9" t="s">
        <v>573</v>
      </c>
      <c r="B27" s="9" t="s">
        <v>574</v>
      </c>
      <c r="C27" s="10">
        <v>285464.83</v>
      </c>
      <c r="D27" s="10">
        <f>188406.73+11418.6+11418.6+11418.6</f>
        <v>222662.53000000003</v>
      </c>
      <c r="E27" s="10">
        <v>11418.6</v>
      </c>
      <c r="F27" s="10">
        <f t="shared" si="0"/>
        <v>62802.299999999988</v>
      </c>
      <c r="G27" s="9" t="s">
        <v>473</v>
      </c>
      <c r="K27" s="7"/>
    </row>
    <row r="28" spans="1:11" s="11" customFormat="1">
      <c r="A28" s="9" t="s">
        <v>575</v>
      </c>
      <c r="B28" s="9" t="s">
        <v>576</v>
      </c>
      <c r="C28" s="10">
        <v>45759.92</v>
      </c>
      <c r="D28" s="10">
        <f>30201.51+1830.4+1830.4+1830.4</f>
        <v>35692.71</v>
      </c>
      <c r="E28" s="10">
        <v>1830.4</v>
      </c>
      <c r="F28" s="10">
        <f t="shared" si="0"/>
        <v>10067.209999999999</v>
      </c>
      <c r="G28" s="9" t="s">
        <v>473</v>
      </c>
      <c r="K28" s="7"/>
    </row>
    <row r="29" spans="1:11" s="11" customFormat="1">
      <c r="A29" s="9" t="s">
        <v>577</v>
      </c>
      <c r="B29" s="9" t="s">
        <v>578</v>
      </c>
      <c r="C29" s="10">
        <v>4355.72</v>
      </c>
      <c r="D29" s="10">
        <f>2874.76+174.23+174.23+174.23</f>
        <v>3397.4500000000003</v>
      </c>
      <c r="E29" s="10">
        <v>174.23</v>
      </c>
      <c r="F29" s="10">
        <f t="shared" si="0"/>
        <v>958.27</v>
      </c>
      <c r="G29" s="9" t="s">
        <v>473</v>
      </c>
      <c r="K29" s="7"/>
    </row>
    <row r="30" spans="1:11" s="11" customFormat="1">
      <c r="A30" s="9" t="s">
        <v>579</v>
      </c>
      <c r="B30" s="9" t="s">
        <v>580</v>
      </c>
      <c r="C30" s="10">
        <v>67350.77</v>
      </c>
      <c r="D30" s="10">
        <f>44451.49+2694.03+2694.03+2694.03</f>
        <v>52533.579999999994</v>
      </c>
      <c r="E30" s="10">
        <v>2694.03</v>
      </c>
      <c r="F30" s="10">
        <f t="shared" si="0"/>
        <v>14817.19000000001</v>
      </c>
      <c r="G30" s="9" t="s">
        <v>473</v>
      </c>
      <c r="K30" s="7"/>
    </row>
    <row r="31" spans="1:11" s="11" customFormat="1">
      <c r="A31" s="9" t="s">
        <v>581</v>
      </c>
      <c r="B31" s="9" t="s">
        <v>582</v>
      </c>
      <c r="C31" s="10">
        <v>23899.93</v>
      </c>
      <c r="D31" s="10">
        <f>15773.93+956+956+956</f>
        <v>18641.93</v>
      </c>
      <c r="E31" s="10">
        <v>956</v>
      </c>
      <c r="F31" s="10">
        <f t="shared" si="0"/>
        <v>5258</v>
      </c>
      <c r="G31" s="9" t="s">
        <v>473</v>
      </c>
      <c r="K31" s="7"/>
    </row>
    <row r="32" spans="1:11" s="11" customFormat="1">
      <c r="A32" s="9" t="s">
        <v>491</v>
      </c>
      <c r="B32" s="9" t="s">
        <v>492</v>
      </c>
      <c r="C32" s="10">
        <v>191053.97</v>
      </c>
      <c r="D32" s="10">
        <f>118453.45+7642.16+7642.16+7642.16</f>
        <v>141379.93</v>
      </c>
      <c r="E32" s="10">
        <v>7642.16</v>
      </c>
      <c r="F32" s="10">
        <f t="shared" si="0"/>
        <v>49674.040000000008</v>
      </c>
      <c r="G32" s="9" t="s">
        <v>473</v>
      </c>
      <c r="K32" s="7"/>
    </row>
    <row r="33" spans="1:11" s="11" customFormat="1">
      <c r="A33" s="9" t="s">
        <v>583</v>
      </c>
      <c r="B33" s="9" t="s">
        <v>584</v>
      </c>
      <c r="C33" s="10">
        <v>528676.96</v>
      </c>
      <c r="D33" s="10">
        <f>327779.7+21147.08+21147.08+21147.08</f>
        <v>391220.94000000006</v>
      </c>
      <c r="E33" s="10">
        <v>21147.08</v>
      </c>
      <c r="F33" s="10">
        <f t="shared" si="0"/>
        <v>137456.0199999999</v>
      </c>
      <c r="G33" s="9" t="s">
        <v>473</v>
      </c>
      <c r="K33" s="7"/>
    </row>
    <row r="34" spans="1:11" s="11" customFormat="1">
      <c r="A34" s="9" t="s">
        <v>585</v>
      </c>
      <c r="B34" s="9" t="s">
        <v>586</v>
      </c>
      <c r="C34" s="10">
        <v>65359.74</v>
      </c>
      <c r="D34" s="10">
        <f>40523.03+2614.39+2614.39+2614.39</f>
        <v>48366.2</v>
      </c>
      <c r="E34" s="10">
        <v>2614.39</v>
      </c>
      <c r="F34" s="10">
        <f t="shared" si="0"/>
        <v>16993.54</v>
      </c>
      <c r="G34" s="9" t="s">
        <v>473</v>
      </c>
      <c r="K34" s="7"/>
    </row>
    <row r="35" spans="1:11" s="11" customFormat="1">
      <c r="A35" s="9" t="s">
        <v>587</v>
      </c>
      <c r="B35" s="9" t="s">
        <v>588</v>
      </c>
      <c r="C35" s="10">
        <v>452.24</v>
      </c>
      <c r="D35" s="10">
        <f>280.39+18.09+18.09+18.08</f>
        <v>334.64999999999992</v>
      </c>
      <c r="E35" s="10">
        <v>18.079999999999998</v>
      </c>
      <c r="F35" s="10">
        <f t="shared" si="0"/>
        <v>117.59000000000009</v>
      </c>
      <c r="G35" s="9" t="s">
        <v>473</v>
      </c>
      <c r="K35" s="7"/>
    </row>
    <row r="36" spans="1:11" s="11" customFormat="1">
      <c r="A36" s="9" t="s">
        <v>589</v>
      </c>
      <c r="B36" s="9" t="s">
        <v>590</v>
      </c>
      <c r="C36" s="10">
        <v>39285.839999999997</v>
      </c>
      <c r="D36" s="10">
        <f>24357.16+1571.43+1571.43+1571.44</f>
        <v>29071.46</v>
      </c>
      <c r="E36" s="10">
        <v>1571.44</v>
      </c>
      <c r="F36" s="10">
        <f t="shared" si="0"/>
        <v>10214.379999999997</v>
      </c>
      <c r="G36" s="9" t="s">
        <v>473</v>
      </c>
      <c r="K36" s="7"/>
    </row>
    <row r="37" spans="1:11" s="11" customFormat="1">
      <c r="A37" s="9" t="s">
        <v>591</v>
      </c>
      <c r="B37" s="9" t="s">
        <v>592</v>
      </c>
      <c r="C37" s="10">
        <v>71026.52</v>
      </c>
      <c r="D37" s="10">
        <f>44036.43+2841.06+2841.06+2841.06</f>
        <v>52559.609999999993</v>
      </c>
      <c r="E37" s="10">
        <v>2841.06</v>
      </c>
      <c r="F37" s="10">
        <f t="shared" si="0"/>
        <v>18466.910000000011</v>
      </c>
      <c r="G37" s="9" t="s">
        <v>473</v>
      </c>
      <c r="K37" s="7"/>
    </row>
    <row r="38" spans="1:11" s="11" customFormat="1">
      <c r="A38" s="9" t="s">
        <v>493</v>
      </c>
      <c r="B38" s="9" t="s">
        <v>494</v>
      </c>
      <c r="C38" s="10">
        <v>108690.37</v>
      </c>
      <c r="D38" s="10">
        <f>63040.36+4347.62+4347.62+4347.62</f>
        <v>76083.219999999987</v>
      </c>
      <c r="E38" s="10">
        <v>4347.62</v>
      </c>
      <c r="F38" s="10">
        <f t="shared" si="0"/>
        <v>32607.150000000009</v>
      </c>
      <c r="G38" s="9" t="s">
        <v>473</v>
      </c>
      <c r="K38" s="7"/>
    </row>
    <row r="39" spans="1:11" s="11" customFormat="1">
      <c r="A39" s="9" t="s">
        <v>593</v>
      </c>
      <c r="B39" s="9" t="s">
        <v>594</v>
      </c>
      <c r="C39" s="10">
        <v>541565.9</v>
      </c>
      <c r="D39" s="10">
        <f>314108.18+21662.64+21662.64+21662.64</f>
        <v>379096.10000000003</v>
      </c>
      <c r="E39" s="10">
        <v>21662.639999999999</v>
      </c>
      <c r="F39" s="10">
        <f t="shared" si="0"/>
        <v>162469.79999999999</v>
      </c>
      <c r="G39" s="9" t="s">
        <v>473</v>
      </c>
      <c r="K39" s="7"/>
    </row>
    <row r="40" spans="1:11" s="11" customFormat="1">
      <c r="A40" s="9" t="s">
        <v>595</v>
      </c>
      <c r="B40" s="9" t="s">
        <v>596</v>
      </c>
      <c r="C40" s="10">
        <v>60747.56</v>
      </c>
      <c r="D40" s="10">
        <f>35233.55+2429.9+2429.9+2429.9</f>
        <v>42523.250000000007</v>
      </c>
      <c r="E40" s="10">
        <v>2429.9</v>
      </c>
      <c r="F40" s="10">
        <f t="shared" si="0"/>
        <v>18224.30999999999</v>
      </c>
      <c r="G40" s="9" t="s">
        <v>473</v>
      </c>
      <c r="K40" s="7"/>
    </row>
    <row r="41" spans="1:11" s="11" customFormat="1">
      <c r="A41" s="9" t="s">
        <v>597</v>
      </c>
      <c r="B41" s="9" t="s">
        <v>598</v>
      </c>
      <c r="C41" s="10">
        <v>455.4</v>
      </c>
      <c r="D41" s="10">
        <f>264.08+18.22+18.22+18.22</f>
        <v>318.74</v>
      </c>
      <c r="E41" s="10">
        <v>18.22</v>
      </c>
      <c r="F41" s="10">
        <f t="shared" si="0"/>
        <v>136.65999999999997</v>
      </c>
      <c r="G41" s="9" t="s">
        <v>473</v>
      </c>
      <c r="K41" s="7"/>
    </row>
    <row r="42" spans="1:11" s="11" customFormat="1">
      <c r="A42" s="9" t="s">
        <v>599</v>
      </c>
      <c r="B42" s="9" t="s">
        <v>600</v>
      </c>
      <c r="C42" s="10">
        <v>57049.8</v>
      </c>
      <c r="D42" s="10">
        <f>33088.85+2281.99+2281.99+2281.99</f>
        <v>39934.819999999992</v>
      </c>
      <c r="E42" s="10">
        <v>2281.9899999999998</v>
      </c>
      <c r="F42" s="10">
        <f t="shared" si="0"/>
        <v>17114.98000000001</v>
      </c>
      <c r="G42" s="9" t="s">
        <v>473</v>
      </c>
      <c r="K42" s="7"/>
    </row>
    <row r="43" spans="1:11" s="11" customFormat="1">
      <c r="A43" s="9" t="s">
        <v>601</v>
      </c>
      <c r="B43" s="9" t="s">
        <v>602</v>
      </c>
      <c r="C43" s="10">
        <v>86547.9</v>
      </c>
      <c r="D43" s="10">
        <f>50197.73+3461.92+3461.92+3461.92</f>
        <v>60583.49</v>
      </c>
      <c r="E43" s="10">
        <v>3461.92</v>
      </c>
      <c r="F43" s="10">
        <f t="shared" si="0"/>
        <v>25964.409999999996</v>
      </c>
      <c r="G43" s="9" t="s">
        <v>473</v>
      </c>
      <c r="K43" s="7"/>
    </row>
    <row r="44" spans="1:11" s="11" customFormat="1">
      <c r="A44" s="9" t="s">
        <v>495</v>
      </c>
      <c r="B44" s="9" t="s">
        <v>496</v>
      </c>
      <c r="C44" s="10">
        <v>64436.04</v>
      </c>
      <c r="D44" s="10">
        <f>34795.44+2577.44+2577.44+2577.44</f>
        <v>42527.760000000009</v>
      </c>
      <c r="E44" s="10">
        <v>2577.44</v>
      </c>
      <c r="F44" s="10">
        <f t="shared" si="0"/>
        <v>21908.279999999992</v>
      </c>
      <c r="G44" s="9" t="s">
        <v>473</v>
      </c>
      <c r="K44" s="7"/>
    </row>
    <row r="45" spans="1:11" s="11" customFormat="1">
      <c r="A45" s="9" t="s">
        <v>603</v>
      </c>
      <c r="B45" s="9" t="s">
        <v>604</v>
      </c>
      <c r="C45" s="10">
        <v>635881.01</v>
      </c>
      <c r="D45" s="10">
        <f>343375.74+25435.24+25435.24+25435.24</f>
        <v>419681.45999999996</v>
      </c>
      <c r="E45" s="10">
        <v>25435.24</v>
      </c>
      <c r="F45" s="10">
        <f t="shared" si="0"/>
        <v>216199.55000000005</v>
      </c>
      <c r="G45" s="9" t="s">
        <v>473</v>
      </c>
      <c r="K45" s="7"/>
    </row>
    <row r="46" spans="1:11" s="11" customFormat="1">
      <c r="A46" s="9" t="s">
        <v>605</v>
      </c>
      <c r="B46" s="9" t="s">
        <v>606</v>
      </c>
      <c r="C46" s="10">
        <v>78409.919999999998</v>
      </c>
      <c r="D46" s="10">
        <f>42341.32+3136.4+3136.4+3136.4</f>
        <v>51750.520000000004</v>
      </c>
      <c r="E46" s="10">
        <v>3136.4</v>
      </c>
      <c r="F46" s="10">
        <f t="shared" si="0"/>
        <v>26659.399999999994</v>
      </c>
      <c r="G46" s="9" t="s">
        <v>473</v>
      </c>
      <c r="K46" s="7"/>
    </row>
    <row r="47" spans="1:11" s="11" customFormat="1">
      <c r="A47" s="9" t="s">
        <v>607</v>
      </c>
      <c r="B47" s="9" t="s">
        <v>608</v>
      </c>
      <c r="C47" s="10">
        <v>3265.77</v>
      </c>
      <c r="D47" s="10">
        <f>1763.5+130.63+130.63+130.63</f>
        <v>2155.3900000000003</v>
      </c>
      <c r="E47" s="10">
        <v>130.63</v>
      </c>
      <c r="F47" s="10">
        <f t="shared" si="0"/>
        <v>1110.3799999999997</v>
      </c>
      <c r="G47" s="9" t="s">
        <v>473</v>
      </c>
      <c r="K47" s="7"/>
    </row>
    <row r="48" spans="1:11" s="11" customFormat="1">
      <c r="A48" s="9" t="s">
        <v>609</v>
      </c>
      <c r="B48" s="9" t="s">
        <v>610</v>
      </c>
      <c r="C48" s="10">
        <v>116493.72</v>
      </c>
      <c r="D48" s="10">
        <f>62906.6+4659.75+4659.75+4659.75</f>
        <v>76885.850000000006</v>
      </c>
      <c r="E48" s="10">
        <v>4659.75</v>
      </c>
      <c r="F48" s="10">
        <f t="shared" si="0"/>
        <v>39607.869999999995</v>
      </c>
      <c r="G48" s="9" t="s">
        <v>473</v>
      </c>
      <c r="K48" s="7"/>
    </row>
    <row r="49" spans="1:11" s="11" customFormat="1">
      <c r="A49" s="9" t="s">
        <v>611</v>
      </c>
      <c r="B49" s="9" t="s">
        <v>612</v>
      </c>
      <c r="C49" s="10">
        <v>295878.23</v>
      </c>
      <c r="D49" s="10">
        <f>159774.23+11835.13+11835.13+11835.13</f>
        <v>195279.62000000002</v>
      </c>
      <c r="E49" s="10">
        <v>11835.13</v>
      </c>
      <c r="F49" s="10">
        <f t="shared" si="0"/>
        <v>100598.60999999996</v>
      </c>
      <c r="G49" s="9" t="s">
        <v>473</v>
      </c>
      <c r="K49" s="7"/>
    </row>
    <row r="50" spans="1:11" s="11" customFormat="1">
      <c r="A50" s="9" t="s">
        <v>497</v>
      </c>
      <c r="B50" s="9" t="s">
        <v>498</v>
      </c>
      <c r="C50" s="10">
        <v>108563.73</v>
      </c>
      <c r="D50" s="10">
        <f>54281.85+4342.55+4342.55+4342.55</f>
        <v>67309.5</v>
      </c>
      <c r="E50" s="10">
        <v>4342.55</v>
      </c>
      <c r="F50" s="10">
        <f t="shared" si="0"/>
        <v>41254.229999999996</v>
      </c>
      <c r="G50" s="9" t="s">
        <v>473</v>
      </c>
      <c r="K50" s="7"/>
    </row>
    <row r="51" spans="1:11" s="11" customFormat="1">
      <c r="A51" s="9" t="s">
        <v>613</v>
      </c>
      <c r="B51" s="9" t="s">
        <v>614</v>
      </c>
      <c r="C51" s="10">
        <v>306327.67999999999</v>
      </c>
      <c r="D51" s="10">
        <f>153163.81+12253.11+12253.11+12253.11</f>
        <v>189923.13999999996</v>
      </c>
      <c r="E51" s="10">
        <v>12253.11</v>
      </c>
      <c r="F51" s="10">
        <f t="shared" si="0"/>
        <v>116404.54000000004</v>
      </c>
      <c r="G51" s="9" t="s">
        <v>473</v>
      </c>
      <c r="K51" s="7"/>
    </row>
    <row r="52" spans="1:11" s="11" customFormat="1">
      <c r="A52" s="9" t="s">
        <v>615</v>
      </c>
      <c r="B52" s="9" t="s">
        <v>616</v>
      </c>
      <c r="C52" s="10">
        <v>47355.28</v>
      </c>
      <c r="D52" s="10">
        <f>23677.62+1894.21+1894.21+1894.21</f>
        <v>29360.249999999996</v>
      </c>
      <c r="E52" s="10">
        <v>1894.21</v>
      </c>
      <c r="F52" s="10">
        <f t="shared" si="0"/>
        <v>17995.030000000002</v>
      </c>
      <c r="G52" s="9" t="s">
        <v>473</v>
      </c>
      <c r="K52" s="7"/>
    </row>
    <row r="53" spans="1:11" s="11" customFormat="1">
      <c r="A53" s="9" t="s">
        <v>617</v>
      </c>
      <c r="B53" s="9" t="s">
        <v>618</v>
      </c>
      <c r="C53" s="10">
        <v>5438.27</v>
      </c>
      <c r="D53" s="10">
        <f>2719.12+217.53+217.53+217.53</f>
        <v>3371.7100000000005</v>
      </c>
      <c r="E53" s="10">
        <v>217.53</v>
      </c>
      <c r="F53" s="10">
        <f t="shared" si="0"/>
        <v>2066.56</v>
      </c>
      <c r="G53" s="9" t="s">
        <v>473</v>
      </c>
      <c r="K53" s="7"/>
    </row>
    <row r="54" spans="1:11" s="11" customFormat="1">
      <c r="A54" s="9" t="s">
        <v>619</v>
      </c>
      <c r="B54" s="9" t="s">
        <v>620</v>
      </c>
      <c r="C54" s="10">
        <v>144412.72</v>
      </c>
      <c r="D54" s="10">
        <f>72206.34+5776.51+5776.51+5776.51</f>
        <v>89535.869999999981</v>
      </c>
      <c r="E54" s="10">
        <v>5776.51</v>
      </c>
      <c r="F54" s="10">
        <f t="shared" si="0"/>
        <v>54876.85000000002</v>
      </c>
      <c r="G54" s="9" t="s">
        <v>473</v>
      </c>
      <c r="H54" s="11" t="s">
        <v>849</v>
      </c>
      <c r="K54" s="7"/>
    </row>
    <row r="55" spans="1:11" s="11" customFormat="1">
      <c r="A55" s="9" t="s">
        <v>621</v>
      </c>
      <c r="B55" s="9" t="s">
        <v>622</v>
      </c>
      <c r="C55" s="10">
        <v>367401.8</v>
      </c>
      <c r="D55" s="10">
        <f>183700.87+14696.07+14696.07+14696.07</f>
        <v>227789.08000000002</v>
      </c>
      <c r="E55" s="10">
        <v>14696.07</v>
      </c>
      <c r="F55" s="10">
        <f t="shared" si="0"/>
        <v>139612.71999999997</v>
      </c>
      <c r="G55" s="9" t="s">
        <v>473</v>
      </c>
      <c r="K55" s="7"/>
    </row>
    <row r="56" spans="1:11" s="11" customFormat="1">
      <c r="A56" s="9" t="s">
        <v>499</v>
      </c>
      <c r="B56" s="9" t="s">
        <v>500</v>
      </c>
      <c r="C56" s="10">
        <v>33275.870000000003</v>
      </c>
      <c r="D56" s="10">
        <f>15306.84+1331.03+1331.04+1331.04</f>
        <v>19299.95</v>
      </c>
      <c r="E56" s="10">
        <v>1331.04</v>
      </c>
      <c r="F56" s="10">
        <f t="shared" si="0"/>
        <v>13975.920000000002</v>
      </c>
      <c r="G56" s="9" t="s">
        <v>473</v>
      </c>
      <c r="K56" s="7"/>
    </row>
    <row r="57" spans="1:11" s="11" customFormat="1">
      <c r="A57" s="9" t="s">
        <v>623</v>
      </c>
      <c r="B57" s="9" t="s">
        <v>624</v>
      </c>
      <c r="C57" s="10">
        <v>220523.1</v>
      </c>
      <c r="D57" s="10">
        <f>101440.58+8820.92+8820.92+8820.92</f>
        <v>127903.34</v>
      </c>
      <c r="E57" s="10">
        <v>8820.92</v>
      </c>
      <c r="F57" s="10">
        <f t="shared" si="0"/>
        <v>92619.760000000009</v>
      </c>
      <c r="G57" s="9" t="s">
        <v>473</v>
      </c>
      <c r="K57" s="7"/>
    </row>
    <row r="58" spans="1:11" s="11" customFormat="1">
      <c r="A58" s="9" t="s">
        <v>625</v>
      </c>
      <c r="B58" s="9" t="s">
        <v>626</v>
      </c>
      <c r="C58" s="10">
        <v>23243.46</v>
      </c>
      <c r="D58" s="10">
        <f>10691.96+929.74+929.74+929.74</f>
        <v>13481.179999999998</v>
      </c>
      <c r="E58" s="10">
        <v>929.74</v>
      </c>
      <c r="F58" s="10">
        <f t="shared" si="0"/>
        <v>9762.2800000000007</v>
      </c>
      <c r="G58" s="9" t="s">
        <v>473</v>
      </c>
      <c r="K58" s="7"/>
    </row>
    <row r="59" spans="1:11" s="11" customFormat="1">
      <c r="A59" s="9" t="s">
        <v>627</v>
      </c>
      <c r="B59" s="9" t="s">
        <v>628</v>
      </c>
      <c r="C59" s="10">
        <v>483.36</v>
      </c>
      <c r="D59" s="10">
        <f>222.29+19.33+19.33+19.34</f>
        <v>280.28999999999996</v>
      </c>
      <c r="E59" s="10">
        <v>19.34</v>
      </c>
      <c r="F59" s="10">
        <f t="shared" si="0"/>
        <v>203.07000000000005</v>
      </c>
      <c r="G59" s="9" t="s">
        <v>473</v>
      </c>
      <c r="K59" s="7"/>
    </row>
    <row r="60" spans="1:11" s="11" customFormat="1">
      <c r="A60" s="9" t="s">
        <v>629</v>
      </c>
      <c r="B60" s="9" t="s">
        <v>630</v>
      </c>
      <c r="C60" s="10">
        <v>84165.9</v>
      </c>
      <c r="D60" s="10">
        <f>38716.25+3366.64+3366.64+3687.27</f>
        <v>49136.799999999996</v>
      </c>
      <c r="E60" s="10">
        <f>3687.27</f>
        <v>3687.27</v>
      </c>
      <c r="F60" s="10">
        <f t="shared" si="0"/>
        <v>35029.1</v>
      </c>
      <c r="G60" s="9" t="s">
        <v>473</v>
      </c>
      <c r="K60" s="7"/>
    </row>
    <row r="61" spans="1:11" s="11" customFormat="1">
      <c r="A61" s="9" t="s">
        <v>631</v>
      </c>
      <c r="B61" s="9" t="s">
        <v>632</v>
      </c>
      <c r="C61" s="10">
        <v>213442.97</v>
      </c>
      <c r="D61" s="10">
        <f>98183.75+8537.72+8537.72+8537.72</f>
        <v>123796.91</v>
      </c>
      <c r="E61" s="10">
        <v>8537.7199999999993</v>
      </c>
      <c r="F61" s="10">
        <f t="shared" si="0"/>
        <v>89646.06</v>
      </c>
      <c r="G61" s="9" t="s">
        <v>473</v>
      </c>
      <c r="K61" s="7"/>
    </row>
    <row r="62" spans="1:11" s="11" customFormat="1">
      <c r="A62" s="9" t="s">
        <v>501</v>
      </c>
      <c r="B62" s="9" t="s">
        <v>502</v>
      </c>
      <c r="C62" s="10">
        <v>99355.58</v>
      </c>
      <c r="D62" s="10">
        <f>41729.31+3974.22+3974.22+3974.22</f>
        <v>53651.97</v>
      </c>
      <c r="E62" s="10">
        <v>3974.22</v>
      </c>
      <c r="F62" s="10">
        <f t="shared" si="0"/>
        <v>45703.61</v>
      </c>
      <c r="G62" s="9" t="s">
        <v>473</v>
      </c>
      <c r="K62" s="7"/>
    </row>
    <row r="63" spans="1:11" s="11" customFormat="1">
      <c r="A63" s="9" t="s">
        <v>633</v>
      </c>
      <c r="B63" s="9" t="s">
        <v>634</v>
      </c>
      <c r="C63" s="10">
        <v>790860.92</v>
      </c>
      <c r="D63" s="10">
        <f>332161.53+31634.44+31634.44+31634.44</f>
        <v>427064.85000000003</v>
      </c>
      <c r="E63" s="10">
        <v>31634.44</v>
      </c>
      <c r="F63" s="10">
        <f t="shared" si="0"/>
        <v>363796.07</v>
      </c>
      <c r="G63" s="9" t="s">
        <v>473</v>
      </c>
      <c r="K63" s="7"/>
    </row>
    <row r="64" spans="1:11" s="11" customFormat="1">
      <c r="A64" s="9" t="s">
        <v>635</v>
      </c>
      <c r="B64" s="9" t="s">
        <v>636</v>
      </c>
      <c r="C64" s="10">
        <v>35064.74</v>
      </c>
      <c r="D64" s="10">
        <f>14727.19+1402.59+1402.59+1402.59</f>
        <v>18934.96</v>
      </c>
      <c r="E64" s="10">
        <v>1402.59</v>
      </c>
      <c r="F64" s="10">
        <f t="shared" si="0"/>
        <v>16129.779999999999</v>
      </c>
      <c r="G64" s="9" t="s">
        <v>473</v>
      </c>
      <c r="K64" s="7"/>
    </row>
    <row r="65" spans="1:11" s="11" customFormat="1">
      <c r="A65" s="9" t="s">
        <v>637</v>
      </c>
      <c r="B65" s="9" t="s">
        <v>638</v>
      </c>
      <c r="C65" s="10">
        <v>2592.52</v>
      </c>
      <c r="D65" s="10">
        <f>1088.85+103.7+103.7+103.7</f>
        <v>1399.95</v>
      </c>
      <c r="E65" s="10">
        <v>103.7</v>
      </c>
      <c r="F65" s="10">
        <f t="shared" si="0"/>
        <v>1192.57</v>
      </c>
      <c r="G65" s="9" t="s">
        <v>473</v>
      </c>
      <c r="K65" s="7"/>
    </row>
    <row r="66" spans="1:11" s="11" customFormat="1">
      <c r="A66" s="9" t="s">
        <v>639</v>
      </c>
      <c r="B66" s="9" t="s">
        <v>640</v>
      </c>
      <c r="C66" s="10">
        <v>44496.44</v>
      </c>
      <c r="D66" s="10">
        <f>18688.47+1779.86+1779.86+1779.86</f>
        <v>24028.050000000003</v>
      </c>
      <c r="E66" s="10">
        <v>1779.86</v>
      </c>
      <c r="F66" s="10">
        <f t="shared" si="0"/>
        <v>20468.39</v>
      </c>
      <c r="G66" s="9" t="s">
        <v>473</v>
      </c>
      <c r="K66" s="7"/>
    </row>
    <row r="67" spans="1:11" s="11" customFormat="1">
      <c r="A67" s="9" t="s">
        <v>641</v>
      </c>
      <c r="B67" s="9" t="s">
        <v>642</v>
      </c>
      <c r="C67" s="10">
        <v>225650.92</v>
      </c>
      <c r="D67" s="10">
        <f>94773.34+9026.04+9026.04+9026.04</f>
        <v>121851.46000000002</v>
      </c>
      <c r="E67" s="10">
        <v>9026.0400000000009</v>
      </c>
      <c r="F67" s="10">
        <f t="shared" si="0"/>
        <v>103799.45999999999</v>
      </c>
      <c r="G67" s="9" t="s">
        <v>473</v>
      </c>
      <c r="K67" s="7"/>
    </row>
    <row r="68" spans="1:11" s="11" customFormat="1">
      <c r="A68" s="9" t="s">
        <v>503</v>
      </c>
      <c r="B68" s="9" t="s">
        <v>504</v>
      </c>
      <c r="C68" s="10">
        <v>45494.239999999998</v>
      </c>
      <c r="D68" s="10">
        <f>17287.81+1819.77+1819.77+1819.77</f>
        <v>22747.120000000003</v>
      </c>
      <c r="E68" s="10">
        <v>1819.77</v>
      </c>
      <c r="F68" s="10">
        <f t="shared" si="0"/>
        <v>22747.119999999995</v>
      </c>
      <c r="G68" s="9" t="s">
        <v>473</v>
      </c>
      <c r="K68" s="7"/>
    </row>
    <row r="69" spans="1:11" s="11" customFormat="1">
      <c r="A69" s="9" t="s">
        <v>643</v>
      </c>
      <c r="B69" s="9" t="s">
        <v>644</v>
      </c>
      <c r="C69" s="10">
        <v>631936.86</v>
      </c>
      <c r="D69" s="10">
        <f>240135.96+25277.47+25277.47+25277.47</f>
        <v>315968.37</v>
      </c>
      <c r="E69" s="10">
        <v>25277.47</v>
      </c>
      <c r="F69" s="10">
        <f t="shared" si="0"/>
        <v>315968.49</v>
      </c>
      <c r="G69" s="9" t="s">
        <v>473</v>
      </c>
      <c r="K69" s="7"/>
    </row>
    <row r="70" spans="1:11" s="11" customFormat="1">
      <c r="A70" s="9" t="s">
        <v>645</v>
      </c>
      <c r="B70" s="9" t="s">
        <v>646</v>
      </c>
      <c r="C70" s="10">
        <v>45652.86</v>
      </c>
      <c r="D70" s="10">
        <f>17348.04+1826.11+1826.11+1826.11</f>
        <v>22826.370000000003</v>
      </c>
      <c r="E70" s="10">
        <v>1826.11</v>
      </c>
      <c r="F70" s="10">
        <f t="shared" si="0"/>
        <v>22826.489999999998</v>
      </c>
      <c r="G70" s="9" t="s">
        <v>473</v>
      </c>
      <c r="K70" s="7"/>
    </row>
    <row r="71" spans="1:11" s="11" customFormat="1">
      <c r="A71" s="9" t="s">
        <v>647</v>
      </c>
      <c r="B71" s="9" t="s">
        <v>648</v>
      </c>
      <c r="C71" s="10">
        <v>4278.96</v>
      </c>
      <c r="D71" s="10">
        <f>1625.97+171.16+171.16+171.16</f>
        <v>2139.4500000000003</v>
      </c>
      <c r="E71" s="10">
        <v>171.16</v>
      </c>
      <c r="F71" s="10">
        <f t="shared" ref="F71:F134" si="2">+C71-D71</f>
        <v>2139.5099999999998</v>
      </c>
      <c r="G71" s="9" t="s">
        <v>473</v>
      </c>
      <c r="K71" s="7"/>
    </row>
    <row r="72" spans="1:11" s="11" customFormat="1">
      <c r="A72" s="9" t="s">
        <v>649</v>
      </c>
      <c r="B72" s="9" t="s">
        <v>650</v>
      </c>
      <c r="C72" s="10">
        <v>117790.72</v>
      </c>
      <c r="D72" s="10">
        <f>44760.45+4711.63+4711.63+4711.63</f>
        <v>58895.339999999989</v>
      </c>
      <c r="E72" s="10">
        <v>4711.63</v>
      </c>
      <c r="F72" s="10">
        <f t="shared" si="2"/>
        <v>58895.380000000012</v>
      </c>
      <c r="G72" s="9" t="s">
        <v>473</v>
      </c>
      <c r="K72" s="7"/>
    </row>
    <row r="73" spans="1:11" s="11" customFormat="1">
      <c r="A73" s="9" t="s">
        <v>651</v>
      </c>
      <c r="B73" s="9" t="s">
        <v>652</v>
      </c>
      <c r="C73" s="10">
        <v>71264.08</v>
      </c>
      <c r="D73" s="10">
        <f>27080.32+2850.56+2850.56+2850.56</f>
        <v>35632</v>
      </c>
      <c r="E73" s="10">
        <v>2850.56</v>
      </c>
      <c r="F73" s="10">
        <f t="shared" si="2"/>
        <v>35632.080000000002</v>
      </c>
      <c r="G73" s="9" t="s">
        <v>473</v>
      </c>
      <c r="K73" s="7"/>
    </row>
    <row r="74" spans="1:11" s="11" customFormat="1">
      <c r="A74" s="9" t="s">
        <v>505</v>
      </c>
      <c r="B74" s="9" t="s">
        <v>506</v>
      </c>
      <c r="C74" s="10">
        <v>167634.23999999999</v>
      </c>
      <c r="D74" s="10">
        <f>56995.63+6705.37+6705.37+6705.37</f>
        <v>77111.739999999991</v>
      </c>
      <c r="E74" s="10">
        <v>6705.37</v>
      </c>
      <c r="F74" s="10">
        <f t="shared" si="2"/>
        <v>90522.5</v>
      </c>
      <c r="G74" s="9" t="s">
        <v>473</v>
      </c>
      <c r="K74" s="7"/>
    </row>
    <row r="75" spans="1:11" s="11" customFormat="1">
      <c r="A75" s="9" t="s">
        <v>653</v>
      </c>
      <c r="B75" s="9" t="s">
        <v>654</v>
      </c>
      <c r="C75" s="10">
        <v>659262.56000000006</v>
      </c>
      <c r="D75" s="10">
        <f>224149.25+26370.5+26370.5+26370.5</f>
        <v>303260.75</v>
      </c>
      <c r="E75" s="10">
        <v>26370.5</v>
      </c>
      <c r="F75" s="10">
        <f t="shared" si="2"/>
        <v>356001.81000000006</v>
      </c>
      <c r="G75" s="9" t="s">
        <v>473</v>
      </c>
      <c r="K75" s="7"/>
    </row>
    <row r="76" spans="1:11" s="11" customFormat="1">
      <c r="A76" s="9" t="s">
        <v>655</v>
      </c>
      <c r="B76" s="9" t="s">
        <v>656</v>
      </c>
      <c r="C76" s="10">
        <v>60192.84</v>
      </c>
      <c r="D76" s="10">
        <f>20465.53+2407.71+2407.71+2407.71</f>
        <v>27688.659999999996</v>
      </c>
      <c r="E76" s="10">
        <v>2407.71</v>
      </c>
      <c r="F76" s="10">
        <f t="shared" si="2"/>
        <v>32504.18</v>
      </c>
      <c r="G76" s="9" t="s">
        <v>473</v>
      </c>
      <c r="K76" s="7"/>
    </row>
    <row r="77" spans="1:11" s="11" customFormat="1">
      <c r="A77" s="9" t="s">
        <v>657</v>
      </c>
      <c r="B77" s="9" t="s">
        <v>658</v>
      </c>
      <c r="C77" s="10">
        <v>6116.43</v>
      </c>
      <c r="D77" s="10">
        <f>2079.53+244.66+244.66+244.66</f>
        <v>2813.5099999999998</v>
      </c>
      <c r="E77" s="10">
        <v>244.66</v>
      </c>
      <c r="F77" s="10">
        <f t="shared" si="2"/>
        <v>3302.9200000000005</v>
      </c>
      <c r="G77" s="9" t="s">
        <v>473</v>
      </c>
      <c r="K77" s="7"/>
    </row>
    <row r="78" spans="1:11" s="11" customFormat="1">
      <c r="A78" s="9" t="s">
        <v>659</v>
      </c>
      <c r="B78" s="9" t="s">
        <v>660</v>
      </c>
      <c r="C78" s="10">
        <v>91261.85</v>
      </c>
      <c r="D78" s="10">
        <f>31028.99+3650.47+3650.47+3650.47</f>
        <v>41980.4</v>
      </c>
      <c r="E78" s="10">
        <v>3650.47</v>
      </c>
      <c r="F78" s="10">
        <f t="shared" si="2"/>
        <v>49281.450000000004</v>
      </c>
      <c r="G78" s="9" t="s">
        <v>473</v>
      </c>
      <c r="K78" s="7"/>
    </row>
    <row r="79" spans="1:11" s="11" customFormat="1">
      <c r="A79" s="9" t="s">
        <v>661</v>
      </c>
      <c r="B79" s="9" t="s">
        <v>662</v>
      </c>
      <c r="C79" s="10">
        <v>213405.5</v>
      </c>
      <c r="D79" s="10">
        <f>72557.87+8536.22+8536.22+8536.22</f>
        <v>98166.53</v>
      </c>
      <c r="E79" s="10">
        <v>8536.2199999999993</v>
      </c>
      <c r="F79" s="10">
        <f t="shared" si="2"/>
        <v>115238.97</v>
      </c>
      <c r="G79" s="9" t="s">
        <v>473</v>
      </c>
      <c r="K79" s="7"/>
    </row>
    <row r="80" spans="1:11" s="11" customFormat="1">
      <c r="A80" s="9" t="s">
        <v>507</v>
      </c>
      <c r="B80" s="9" t="s">
        <v>508</v>
      </c>
      <c r="C80" s="10">
        <v>154298.98000000001</v>
      </c>
      <c r="D80" s="10">
        <f>46289.69+6171.96+6171.95+6171.96</f>
        <v>64805.56</v>
      </c>
      <c r="E80" s="10">
        <v>6171.96</v>
      </c>
      <c r="F80" s="10">
        <f t="shared" si="2"/>
        <v>89493.420000000013</v>
      </c>
      <c r="G80" s="9" t="s">
        <v>473</v>
      </c>
      <c r="K80" s="7"/>
    </row>
    <row r="81" spans="1:11" s="11" customFormat="1">
      <c r="A81" s="9" t="s">
        <v>663</v>
      </c>
      <c r="B81" s="9" t="s">
        <v>664</v>
      </c>
      <c r="C81" s="10">
        <v>1340153.79</v>
      </c>
      <c r="D81" s="10">
        <f>402046.12+53606.15+53606.15+53606.15</f>
        <v>562864.57000000007</v>
      </c>
      <c r="E81" s="10">
        <v>53606.15</v>
      </c>
      <c r="F81" s="10">
        <f t="shared" si="2"/>
        <v>777289.22</v>
      </c>
      <c r="G81" s="9" t="s">
        <v>473</v>
      </c>
      <c r="K81" s="7"/>
    </row>
    <row r="82" spans="1:11" s="11" customFormat="1">
      <c r="A82" s="9" t="s">
        <v>665</v>
      </c>
      <c r="B82" s="9" t="s">
        <v>666</v>
      </c>
      <c r="C82" s="10">
        <v>43414.86</v>
      </c>
      <c r="D82" s="10">
        <f>13024.42+1736.59+1736.59+1736.59</f>
        <v>18234.189999999999</v>
      </c>
      <c r="E82" s="10">
        <v>1736.59</v>
      </c>
      <c r="F82" s="10">
        <f t="shared" si="2"/>
        <v>25180.670000000002</v>
      </c>
      <c r="G82" s="9" t="s">
        <v>473</v>
      </c>
      <c r="K82" s="7"/>
    </row>
    <row r="83" spans="1:11" s="11" customFormat="1">
      <c r="A83" s="9" t="s">
        <v>667</v>
      </c>
      <c r="B83" s="9" t="s">
        <v>668</v>
      </c>
      <c r="C83" s="10">
        <v>3997.92</v>
      </c>
      <c r="D83" s="10">
        <f>1199.32+159.92+159.92+159.92</f>
        <v>1679.0800000000002</v>
      </c>
      <c r="E83" s="10">
        <v>159.91999999999999</v>
      </c>
      <c r="F83" s="10">
        <f t="shared" si="2"/>
        <v>2318.84</v>
      </c>
      <c r="G83" s="9" t="s">
        <v>473</v>
      </c>
      <c r="K83" s="7"/>
    </row>
    <row r="84" spans="1:11" s="11" customFormat="1">
      <c r="A84" s="9" t="s">
        <v>669</v>
      </c>
      <c r="B84" s="9" t="s">
        <v>670</v>
      </c>
      <c r="C84" s="10">
        <v>143432.01</v>
      </c>
      <c r="D84" s="10">
        <f>43029.6+5737.28+5737.28+5737.28</f>
        <v>60241.439999999995</v>
      </c>
      <c r="E84" s="10">
        <v>5737.28</v>
      </c>
      <c r="F84" s="10">
        <f t="shared" si="2"/>
        <v>83190.570000000007</v>
      </c>
      <c r="G84" s="9" t="s">
        <v>473</v>
      </c>
      <c r="K84" s="7"/>
    </row>
    <row r="85" spans="1:11" s="11" customFormat="1">
      <c r="A85" s="9" t="s">
        <v>671</v>
      </c>
      <c r="B85" s="9" t="s">
        <v>672</v>
      </c>
      <c r="C85" s="10">
        <v>145144.82</v>
      </c>
      <c r="D85" s="10">
        <f>43543.42+5805.79+5805.79+5805.79</f>
        <v>60960.79</v>
      </c>
      <c r="E85" s="10">
        <v>5805.79</v>
      </c>
      <c r="F85" s="10">
        <f t="shared" si="2"/>
        <v>84184.03</v>
      </c>
      <c r="G85" s="9" t="s">
        <v>473</v>
      </c>
      <c r="K85" s="7"/>
    </row>
    <row r="86" spans="1:11" s="11" customFormat="1">
      <c r="A86" s="9" t="s">
        <v>509</v>
      </c>
      <c r="B86" s="9" t="s">
        <v>510</v>
      </c>
      <c r="C86" s="10">
        <v>132641.70000000001</v>
      </c>
      <c r="D86" s="10">
        <f>34486.8+5305.67+5305.67+5305.67</f>
        <v>50403.81</v>
      </c>
      <c r="E86" s="10">
        <v>5305.67</v>
      </c>
      <c r="F86" s="10">
        <f t="shared" si="2"/>
        <v>82237.890000000014</v>
      </c>
      <c r="G86" s="9" t="s">
        <v>473</v>
      </c>
      <c r="H86" s="8"/>
      <c r="K86" s="7"/>
    </row>
    <row r="87" spans="1:11" s="11" customFormat="1">
      <c r="A87" s="9" t="s">
        <v>673</v>
      </c>
      <c r="B87" s="9" t="s">
        <v>674</v>
      </c>
      <c r="C87" s="10">
        <v>856491.65</v>
      </c>
      <c r="D87" s="10">
        <f>222687.79+34259.66+34259.66+34259.66</f>
        <v>325466.77</v>
      </c>
      <c r="E87" s="10">
        <v>34259.660000000003</v>
      </c>
      <c r="F87" s="10">
        <f t="shared" si="2"/>
        <v>531024.88</v>
      </c>
      <c r="G87" s="9" t="s">
        <v>473</v>
      </c>
      <c r="H87" s="8"/>
      <c r="I87" s="8"/>
      <c r="J87" s="8"/>
      <c r="K87" s="7"/>
    </row>
    <row r="88" spans="1:11" s="11" customFormat="1">
      <c r="A88" s="9" t="s">
        <v>675</v>
      </c>
      <c r="B88" s="9" t="s">
        <v>676</v>
      </c>
      <c r="C88" s="10">
        <v>37449.69</v>
      </c>
      <c r="D88" s="10">
        <f>9736.88+1497.99+1497.99+1497.99</f>
        <v>14230.849999999999</v>
      </c>
      <c r="E88" s="10">
        <v>1497.99</v>
      </c>
      <c r="F88" s="10">
        <f t="shared" si="2"/>
        <v>23218.840000000004</v>
      </c>
      <c r="G88" s="9" t="s">
        <v>473</v>
      </c>
      <c r="H88" s="8"/>
      <c r="I88" s="8"/>
      <c r="J88" s="8"/>
      <c r="K88" s="7"/>
    </row>
    <row r="89" spans="1:11" s="11" customFormat="1">
      <c r="A89" s="9" t="s">
        <v>677</v>
      </c>
      <c r="B89" s="9" t="s">
        <v>678</v>
      </c>
      <c r="C89" s="10">
        <v>3260.24</v>
      </c>
      <c r="D89" s="10">
        <f>847.66+130.41+130.41+130.41</f>
        <v>1238.8900000000001</v>
      </c>
      <c r="E89" s="10">
        <v>130.41</v>
      </c>
      <c r="F89" s="10">
        <f t="shared" si="2"/>
        <v>2021.3499999999997</v>
      </c>
      <c r="G89" s="9" t="s">
        <v>473</v>
      </c>
      <c r="H89" s="8"/>
      <c r="I89" s="8"/>
      <c r="J89" s="8"/>
      <c r="K89" s="7"/>
    </row>
    <row r="90" spans="1:11" s="11" customFormat="1">
      <c r="A90" s="9" t="s">
        <v>679</v>
      </c>
      <c r="B90" s="9" t="s">
        <v>680</v>
      </c>
      <c r="C90" s="10">
        <v>91422.62</v>
      </c>
      <c r="D90" s="10">
        <f>23769.85+3656.9+3656.9+3656.9</f>
        <v>34740.550000000003</v>
      </c>
      <c r="E90" s="10">
        <v>3656.9</v>
      </c>
      <c r="F90" s="10">
        <f t="shared" si="2"/>
        <v>56682.069999999992</v>
      </c>
      <c r="G90" s="9" t="s">
        <v>473</v>
      </c>
      <c r="H90" s="8"/>
      <c r="I90" s="8"/>
      <c r="J90" s="8"/>
      <c r="K90" s="7"/>
    </row>
    <row r="91" spans="1:11" s="11" customFormat="1">
      <c r="A91" s="9" t="s">
        <v>681</v>
      </c>
      <c r="B91" s="9" t="s">
        <v>682</v>
      </c>
      <c r="C91" s="10">
        <v>59289.09</v>
      </c>
      <c r="D91" s="10">
        <f>15415.14+2371.56+2371.56+2371.56</f>
        <v>22529.820000000003</v>
      </c>
      <c r="E91" s="10">
        <v>2371.56</v>
      </c>
      <c r="F91" s="10">
        <f t="shared" si="2"/>
        <v>36759.26999999999</v>
      </c>
      <c r="G91" s="9" t="s">
        <v>473</v>
      </c>
      <c r="K91" s="7"/>
    </row>
    <row r="92" spans="1:11" s="11" customFormat="1">
      <c r="A92" s="9" t="s">
        <v>511</v>
      </c>
      <c r="B92" s="9" t="s">
        <v>512</v>
      </c>
      <c r="C92" s="10">
        <v>91938.21</v>
      </c>
      <c r="D92" s="10">
        <f>20226.37+3677.53+3677.53+3677.53</f>
        <v>31258.959999999995</v>
      </c>
      <c r="E92" s="10">
        <v>3677.53</v>
      </c>
      <c r="F92" s="10">
        <f t="shared" si="2"/>
        <v>60679.250000000015</v>
      </c>
      <c r="G92" s="9" t="s">
        <v>473</v>
      </c>
      <c r="K92" s="7"/>
    </row>
    <row r="93" spans="1:11" s="11" customFormat="1">
      <c r="A93" s="9" t="s">
        <v>683</v>
      </c>
      <c r="B93" s="9" t="s">
        <v>684</v>
      </c>
      <c r="C93" s="10">
        <v>1292311.23</v>
      </c>
      <c r="D93" s="10">
        <f>284308.45+51692.45+51692.45+51692.45</f>
        <v>439385.80000000005</v>
      </c>
      <c r="E93" s="10">
        <v>51692.45</v>
      </c>
      <c r="F93" s="10">
        <f t="shared" si="2"/>
        <v>852925.42999999993</v>
      </c>
      <c r="G93" s="9" t="s">
        <v>473</v>
      </c>
      <c r="K93" s="7"/>
    </row>
    <row r="94" spans="1:11" s="11" customFormat="1">
      <c r="A94" s="9" t="s">
        <v>685</v>
      </c>
      <c r="B94" s="9" t="s">
        <v>686</v>
      </c>
      <c r="C94" s="10">
        <v>27779.03</v>
      </c>
      <c r="D94" s="10">
        <f>6111.38+1111.16+1111.16+1111.16</f>
        <v>9444.86</v>
      </c>
      <c r="E94" s="10">
        <v>1111.1600000000001</v>
      </c>
      <c r="F94" s="10">
        <f t="shared" si="2"/>
        <v>18334.169999999998</v>
      </c>
      <c r="G94" s="9" t="s">
        <v>473</v>
      </c>
      <c r="K94" s="7"/>
    </row>
    <row r="95" spans="1:11" s="11" customFormat="1">
      <c r="A95" s="9" t="s">
        <v>687</v>
      </c>
      <c r="B95" s="9" t="s">
        <v>688</v>
      </c>
      <c r="C95" s="10">
        <v>693.88</v>
      </c>
      <c r="D95" s="10">
        <f>152.62+27.75+27.75+27.75</f>
        <v>235.87</v>
      </c>
      <c r="E95" s="10">
        <v>27.75</v>
      </c>
      <c r="F95" s="10">
        <f t="shared" si="2"/>
        <v>458.01</v>
      </c>
      <c r="G95" s="9" t="s">
        <v>473</v>
      </c>
      <c r="K95" s="7"/>
    </row>
    <row r="96" spans="1:11" s="11" customFormat="1">
      <c r="A96" s="9" t="s">
        <v>689</v>
      </c>
      <c r="B96" s="9" t="s">
        <v>690</v>
      </c>
      <c r="C96" s="10">
        <v>102055.75</v>
      </c>
      <c r="D96" s="10">
        <f>22452.26+4082.23+4082.23+4082.23</f>
        <v>34698.949999999997</v>
      </c>
      <c r="E96" s="10">
        <v>4082.23</v>
      </c>
      <c r="F96" s="10">
        <f t="shared" si="2"/>
        <v>67356.800000000003</v>
      </c>
      <c r="G96" s="9" t="s">
        <v>473</v>
      </c>
      <c r="K96" s="7"/>
    </row>
    <row r="97" spans="1:11" s="11" customFormat="1">
      <c r="A97" s="9" t="s">
        <v>691</v>
      </c>
      <c r="B97" s="9" t="s">
        <v>692</v>
      </c>
      <c r="C97" s="10">
        <v>55292.35</v>
      </c>
      <c r="D97" s="10">
        <f>12164.29+2211.69+2211.69+2211.69</f>
        <v>18799.36</v>
      </c>
      <c r="E97" s="10">
        <v>2211.69</v>
      </c>
      <c r="F97" s="10">
        <f t="shared" si="2"/>
        <v>36492.99</v>
      </c>
      <c r="G97" s="9" t="s">
        <v>473</v>
      </c>
      <c r="K97" s="7"/>
    </row>
    <row r="98" spans="1:11" s="11" customFormat="1">
      <c r="A98" s="9" t="s">
        <v>513</v>
      </c>
      <c r="B98" s="9" t="s">
        <v>514</v>
      </c>
      <c r="C98" s="10">
        <v>107514.68</v>
      </c>
      <c r="D98" s="10">
        <f>19352.61+4300.58+4300.58+4300.59</f>
        <v>32254.360000000004</v>
      </c>
      <c r="E98" s="10">
        <v>4300.59</v>
      </c>
      <c r="F98" s="10">
        <f t="shared" si="2"/>
        <v>75260.319999999992</v>
      </c>
      <c r="G98" s="9" t="s">
        <v>473</v>
      </c>
      <c r="K98" s="7"/>
    </row>
    <row r="99" spans="1:11" s="11" customFormat="1">
      <c r="A99" s="9" t="s">
        <v>693</v>
      </c>
      <c r="B99" s="9" t="s">
        <v>694</v>
      </c>
      <c r="C99" s="10">
        <v>521688.55</v>
      </c>
      <c r="D99" s="10">
        <f>93903.93+20867.54+20867.54+20867.54</f>
        <v>156506.55000000002</v>
      </c>
      <c r="E99" s="10">
        <v>20867.54</v>
      </c>
      <c r="F99" s="10">
        <f t="shared" si="2"/>
        <v>365182</v>
      </c>
      <c r="G99" s="9" t="s">
        <v>473</v>
      </c>
      <c r="K99" s="7"/>
    </row>
    <row r="100" spans="1:11" s="11" customFormat="1">
      <c r="A100" s="9" t="s">
        <v>695</v>
      </c>
      <c r="B100" s="9" t="s">
        <v>696</v>
      </c>
      <c r="C100" s="10">
        <v>29057.11</v>
      </c>
      <c r="D100" s="10">
        <f>5230.26+1162.28+1162.28+1162.28</f>
        <v>8717.1</v>
      </c>
      <c r="E100" s="10">
        <v>1162.28</v>
      </c>
      <c r="F100" s="10">
        <f t="shared" si="2"/>
        <v>20340.010000000002</v>
      </c>
      <c r="G100" s="9" t="s">
        <v>473</v>
      </c>
      <c r="K100" s="7"/>
    </row>
    <row r="101" spans="1:11" s="11" customFormat="1">
      <c r="A101" s="9" t="s">
        <v>697</v>
      </c>
      <c r="B101" s="9" t="s">
        <v>698</v>
      </c>
      <c r="C101" s="10">
        <v>3027.49</v>
      </c>
      <c r="D101" s="10">
        <f>544.94+121.1+121.1+121.1</f>
        <v>908.24000000000012</v>
      </c>
      <c r="E101" s="10">
        <v>121.1</v>
      </c>
      <c r="F101" s="10">
        <f t="shared" si="2"/>
        <v>2119.2499999999995</v>
      </c>
      <c r="G101" s="9" t="s">
        <v>473</v>
      </c>
      <c r="K101" s="7"/>
    </row>
    <row r="102" spans="1:11" s="11" customFormat="1">
      <c r="A102" s="9" t="s">
        <v>699</v>
      </c>
      <c r="B102" s="9" t="s">
        <v>700</v>
      </c>
      <c r="C102" s="10">
        <v>18850.64</v>
      </c>
      <c r="D102" s="10">
        <f>3393.09+754.02+754.02+754.02</f>
        <v>5655.1500000000015</v>
      </c>
      <c r="E102" s="10">
        <v>754.02</v>
      </c>
      <c r="F102" s="10">
        <f t="shared" si="2"/>
        <v>13195.489999999998</v>
      </c>
      <c r="G102" s="9" t="s">
        <v>473</v>
      </c>
      <c r="K102" s="7"/>
    </row>
    <row r="103" spans="1:11" s="11" customFormat="1">
      <c r="A103" s="9" t="s">
        <v>701</v>
      </c>
      <c r="B103" s="9" t="s">
        <v>702</v>
      </c>
      <c r="C103" s="10">
        <v>39399.57</v>
      </c>
      <c r="D103" s="10">
        <f>7091.91+1575.98+1575.98+1575.98</f>
        <v>11819.849999999999</v>
      </c>
      <c r="E103" s="10">
        <v>1575.98</v>
      </c>
      <c r="F103" s="10">
        <f t="shared" si="2"/>
        <v>27579.72</v>
      </c>
      <c r="G103" s="9" t="s">
        <v>473</v>
      </c>
      <c r="K103" s="7"/>
    </row>
    <row r="104" spans="1:11" s="11" customFormat="1">
      <c r="A104" s="9" t="s">
        <v>515</v>
      </c>
      <c r="B104" s="9" t="s">
        <v>516</v>
      </c>
      <c r="C104" s="10">
        <v>38239.46</v>
      </c>
      <c r="D104" s="10">
        <f>5353.5+1529.58+1529.58+1529.58</f>
        <v>9942.24</v>
      </c>
      <c r="E104" s="10">
        <v>1529.58</v>
      </c>
      <c r="F104" s="10">
        <f t="shared" si="2"/>
        <v>28297.22</v>
      </c>
      <c r="G104" s="9" t="s">
        <v>473</v>
      </c>
      <c r="K104" s="7"/>
    </row>
    <row r="105" spans="1:11" s="11" customFormat="1">
      <c r="A105" s="9" t="s">
        <v>703</v>
      </c>
      <c r="B105" s="9" t="s">
        <v>704</v>
      </c>
      <c r="C105" s="10">
        <v>415583.49</v>
      </c>
      <c r="D105" s="10">
        <f>58181.67+16623.34+16623.34+16623.34</f>
        <v>108051.68999999999</v>
      </c>
      <c r="E105" s="10">
        <v>16623.34</v>
      </c>
      <c r="F105" s="10">
        <f t="shared" si="2"/>
        <v>307531.8</v>
      </c>
      <c r="G105" s="9" t="s">
        <v>473</v>
      </c>
      <c r="K105" s="7"/>
    </row>
    <row r="106" spans="1:11" s="11" customFormat="1">
      <c r="A106" s="9" t="s">
        <v>705</v>
      </c>
      <c r="B106" s="9" t="s">
        <v>706</v>
      </c>
      <c r="C106" s="10">
        <v>17279.22</v>
      </c>
      <c r="D106" s="10">
        <f>2419.07+691.17+691.17+691.17</f>
        <v>4492.58</v>
      </c>
      <c r="E106" s="10">
        <v>691.17</v>
      </c>
      <c r="F106" s="10">
        <f t="shared" si="2"/>
        <v>12786.640000000001</v>
      </c>
      <c r="G106" s="9" t="s">
        <v>473</v>
      </c>
      <c r="K106" s="7"/>
    </row>
    <row r="107" spans="1:11" s="11" customFormat="1">
      <c r="A107" s="9" t="s">
        <v>707</v>
      </c>
      <c r="B107" s="9" t="s">
        <v>708</v>
      </c>
      <c r="C107" s="10">
        <v>1118.45</v>
      </c>
      <c r="D107" s="10">
        <f>156.55+44.73+44.73+44.74</f>
        <v>290.75</v>
      </c>
      <c r="E107" s="10">
        <v>44.74</v>
      </c>
      <c r="F107" s="10">
        <f t="shared" si="2"/>
        <v>827.7</v>
      </c>
      <c r="G107" s="9" t="s">
        <v>473</v>
      </c>
      <c r="K107" s="7"/>
    </row>
    <row r="108" spans="1:11" s="11" customFormat="1">
      <c r="A108" s="9" t="s">
        <v>709</v>
      </c>
      <c r="B108" s="9" t="s">
        <v>710</v>
      </c>
      <c r="C108" s="10">
        <v>22850.720000000001</v>
      </c>
      <c r="D108" s="10">
        <f>3199.07+914.03+914.03+914.03</f>
        <v>5941.16</v>
      </c>
      <c r="E108" s="10">
        <v>914.03</v>
      </c>
      <c r="F108" s="10">
        <f t="shared" si="2"/>
        <v>16909.560000000001</v>
      </c>
      <c r="G108" s="9" t="s">
        <v>473</v>
      </c>
      <c r="K108" s="7"/>
    </row>
    <row r="109" spans="1:11" s="11" customFormat="1">
      <c r="A109" s="9" t="s">
        <v>711</v>
      </c>
      <c r="B109" s="9" t="s">
        <v>712</v>
      </c>
      <c r="C109" s="10">
        <v>24967.33</v>
      </c>
      <c r="D109" s="10">
        <f>3495.41+998.69+998.69+998.69</f>
        <v>6491.4800000000014</v>
      </c>
      <c r="E109" s="10">
        <v>998.69</v>
      </c>
      <c r="F109" s="10">
        <f t="shared" si="2"/>
        <v>18475.849999999999</v>
      </c>
      <c r="G109" s="9" t="s">
        <v>473</v>
      </c>
      <c r="K109" s="7"/>
    </row>
    <row r="110" spans="1:11" s="11" customFormat="1">
      <c r="A110" s="9" t="s">
        <v>517</v>
      </c>
      <c r="B110" s="9" t="s">
        <v>518</v>
      </c>
      <c r="C110" s="10">
        <v>90663.71</v>
      </c>
      <c r="D110" s="10">
        <f>9066.35+3626.54+3626.55+3626.55</f>
        <v>19945.989999999998</v>
      </c>
      <c r="E110" s="10">
        <v>3626.55</v>
      </c>
      <c r="F110" s="10">
        <f t="shared" si="2"/>
        <v>70717.72</v>
      </c>
      <c r="G110" s="9" t="s">
        <v>473</v>
      </c>
      <c r="K110" s="7"/>
    </row>
    <row r="111" spans="1:11" s="11" customFormat="1">
      <c r="A111" s="9" t="s">
        <v>713</v>
      </c>
      <c r="B111" s="9" t="s">
        <v>714</v>
      </c>
      <c r="C111" s="10">
        <v>322007.3</v>
      </c>
      <c r="D111" s="10">
        <f>32200.72+12880.29+12880.29+12880.29</f>
        <v>70841.59</v>
      </c>
      <c r="E111" s="10">
        <v>12880.29</v>
      </c>
      <c r="F111" s="10">
        <f t="shared" si="2"/>
        <v>251165.71</v>
      </c>
      <c r="G111" s="9" t="s">
        <v>473</v>
      </c>
      <c r="K111" s="7"/>
    </row>
    <row r="112" spans="1:11" s="11" customFormat="1" ht="13.8" customHeight="1">
      <c r="A112" s="9" t="s">
        <v>715</v>
      </c>
      <c r="B112" s="9" t="s">
        <v>716</v>
      </c>
      <c r="C112" s="10">
        <v>27091.56</v>
      </c>
      <c r="D112" s="10">
        <f>2709.15+1083.66+1083.66+1083.66</f>
        <v>5960.13</v>
      </c>
      <c r="E112" s="10">
        <v>1083.6600000000001</v>
      </c>
      <c r="F112" s="10">
        <f t="shared" si="2"/>
        <v>21131.43</v>
      </c>
      <c r="G112" s="9" t="s">
        <v>473</v>
      </c>
      <c r="K112" s="7"/>
    </row>
    <row r="113" spans="1:11" s="11" customFormat="1" ht="13.8" customHeight="1">
      <c r="A113" s="9" t="s">
        <v>717</v>
      </c>
      <c r="B113" s="9" t="s">
        <v>718</v>
      </c>
      <c r="C113" s="10">
        <v>4921.07</v>
      </c>
      <c r="D113" s="10">
        <f>492.1+196.84+196.84+196.84</f>
        <v>1082.6200000000001</v>
      </c>
      <c r="E113" s="10">
        <v>196.84</v>
      </c>
      <c r="F113" s="10">
        <f t="shared" si="2"/>
        <v>3838.45</v>
      </c>
      <c r="G113" s="9" t="s">
        <v>473</v>
      </c>
      <c r="K113" s="7"/>
    </row>
    <row r="114" spans="1:11" s="11" customFormat="1" ht="13.8" customHeight="1">
      <c r="A114" s="9" t="s">
        <v>719</v>
      </c>
      <c r="B114" s="9" t="s">
        <v>720</v>
      </c>
      <c r="C114" s="10">
        <v>89025.79</v>
      </c>
      <c r="D114" s="10">
        <f>8902.57+3561.03+3561.03+3561.03</f>
        <v>19585.66</v>
      </c>
      <c r="E114" s="10">
        <v>3561.03</v>
      </c>
      <c r="F114" s="10">
        <f t="shared" si="2"/>
        <v>69440.12999999999</v>
      </c>
      <c r="G114" s="9" t="s">
        <v>473</v>
      </c>
      <c r="K114" s="7"/>
    </row>
    <row r="115" spans="1:11" s="11" customFormat="1" ht="13.8" customHeight="1">
      <c r="A115" s="9" t="s">
        <v>721</v>
      </c>
      <c r="B115" s="9" t="s">
        <v>722</v>
      </c>
      <c r="C115" s="10">
        <v>33059.120000000003</v>
      </c>
      <c r="D115" s="10">
        <f>3305.9+1322.36+1322.36+1322.36</f>
        <v>7272.98</v>
      </c>
      <c r="E115" s="10">
        <v>1322.36</v>
      </c>
      <c r="F115" s="10">
        <f t="shared" si="2"/>
        <v>25786.140000000003</v>
      </c>
      <c r="G115" s="9" t="s">
        <v>473</v>
      </c>
      <c r="K115" s="7"/>
    </row>
    <row r="116" spans="1:11" s="11" customFormat="1" ht="13.8" customHeight="1">
      <c r="A116" s="9" t="s">
        <v>723</v>
      </c>
      <c r="B116" s="9" t="s">
        <v>724</v>
      </c>
      <c r="C116" s="10">
        <v>34228.93</v>
      </c>
      <c r="D116" s="10">
        <f>3422.87+1369.15+1369.15+1369.15</f>
        <v>7530.32</v>
      </c>
      <c r="E116" s="10">
        <v>1369.15</v>
      </c>
      <c r="F116" s="10">
        <f t="shared" si="2"/>
        <v>26698.61</v>
      </c>
      <c r="G116" s="9" t="s">
        <v>473</v>
      </c>
      <c r="K116" s="7"/>
    </row>
    <row r="117" spans="1:11" s="11" customFormat="1" ht="13.8" customHeight="1">
      <c r="A117" s="9" t="s">
        <v>519</v>
      </c>
      <c r="B117" s="9" t="s">
        <v>520</v>
      </c>
      <c r="C117" s="10">
        <v>138346.29</v>
      </c>
      <c r="D117" s="10">
        <f>8300.77+5533.85+5533.85+5533.85</f>
        <v>24902.32</v>
      </c>
      <c r="E117" s="10">
        <v>5533.85</v>
      </c>
      <c r="F117" s="10">
        <f t="shared" si="2"/>
        <v>113443.97</v>
      </c>
      <c r="G117" s="9" t="s">
        <v>473</v>
      </c>
      <c r="K117" s="7"/>
    </row>
    <row r="118" spans="1:11" s="11" customFormat="1">
      <c r="A118" s="9" t="s">
        <v>725</v>
      </c>
      <c r="B118" s="9" t="s">
        <v>726</v>
      </c>
      <c r="C118" s="10">
        <v>687955.82</v>
      </c>
      <c r="D118" s="10">
        <f>41277.34+27518.23+27518.23+27518.23</f>
        <v>123832.02999999998</v>
      </c>
      <c r="E118" s="10">
        <v>27518.23</v>
      </c>
      <c r="F118" s="10">
        <f t="shared" si="2"/>
        <v>564123.78999999992</v>
      </c>
      <c r="G118" s="9" t="s">
        <v>473</v>
      </c>
      <c r="K118" s="7"/>
    </row>
    <row r="119" spans="1:11" s="11" customFormat="1">
      <c r="A119" s="9" t="s">
        <v>727</v>
      </c>
      <c r="B119" s="9" t="s">
        <v>728</v>
      </c>
      <c r="C119" s="10">
        <v>28489.89</v>
      </c>
      <c r="D119" s="10">
        <f>1709.38+1139.59+1139.59+1139.59</f>
        <v>5128.1500000000005</v>
      </c>
      <c r="E119" s="10">
        <v>1139.5899999999999</v>
      </c>
      <c r="F119" s="10">
        <f t="shared" si="2"/>
        <v>23361.739999999998</v>
      </c>
      <c r="G119" s="9" t="s">
        <v>473</v>
      </c>
      <c r="K119" s="7"/>
    </row>
    <row r="120" spans="1:11" s="11" customFormat="1">
      <c r="A120" s="9" t="s">
        <v>729</v>
      </c>
      <c r="B120" s="9" t="s">
        <v>730</v>
      </c>
      <c r="C120" s="10">
        <v>7025.65</v>
      </c>
      <c r="D120" s="10">
        <f>421.53+281.02+281.02+281.02</f>
        <v>1264.5899999999999</v>
      </c>
      <c r="E120" s="10">
        <v>281.02</v>
      </c>
      <c r="F120" s="10">
        <f t="shared" si="2"/>
        <v>5761.0599999999995</v>
      </c>
      <c r="G120" s="9" t="s">
        <v>473</v>
      </c>
      <c r="K120" s="7"/>
    </row>
    <row r="121" spans="1:11" s="11" customFormat="1">
      <c r="A121" s="9" t="s">
        <v>731</v>
      </c>
      <c r="B121" s="9" t="s">
        <v>732</v>
      </c>
      <c r="C121" s="10">
        <v>29654.720000000001</v>
      </c>
      <c r="D121" s="10">
        <f>1779.27+1186.18+1186.18+1186.19</f>
        <v>5337.82</v>
      </c>
      <c r="E121" s="10">
        <v>1186.19</v>
      </c>
      <c r="F121" s="10">
        <f t="shared" si="2"/>
        <v>24316.9</v>
      </c>
      <c r="G121" s="9" t="s">
        <v>473</v>
      </c>
      <c r="K121" s="7"/>
    </row>
    <row r="122" spans="1:11" s="11" customFormat="1">
      <c r="A122" s="9" t="s">
        <v>733</v>
      </c>
      <c r="B122" s="9" t="s">
        <v>734</v>
      </c>
      <c r="C122" s="10">
        <v>20488.11</v>
      </c>
      <c r="D122" s="10">
        <f>1229.28+819.52+819.52+819.52</f>
        <v>3687.84</v>
      </c>
      <c r="E122" s="10">
        <v>819.52</v>
      </c>
      <c r="F122" s="10">
        <f t="shared" si="2"/>
        <v>16800.27</v>
      </c>
      <c r="G122" s="9" t="s">
        <v>473</v>
      </c>
      <c r="K122" s="7"/>
    </row>
    <row r="123" spans="1:11" s="11" customFormat="1">
      <c r="A123" s="9" t="s">
        <v>521</v>
      </c>
      <c r="B123" s="9" t="s">
        <v>522</v>
      </c>
      <c r="C123" s="10">
        <v>233868.22</v>
      </c>
      <c r="D123" s="10">
        <f>4677.36+9354.72+9354.72+9354.72</f>
        <v>32741.519999999997</v>
      </c>
      <c r="E123" s="10">
        <v>9354.7199999999993</v>
      </c>
      <c r="F123" s="10">
        <f t="shared" si="2"/>
        <v>201126.7</v>
      </c>
      <c r="G123" s="9" t="s">
        <v>473</v>
      </c>
      <c r="K123" s="7"/>
    </row>
    <row r="124" spans="1:11" s="11" customFormat="1">
      <c r="A124" s="9" t="s">
        <v>735</v>
      </c>
      <c r="B124" s="9" t="s">
        <v>736</v>
      </c>
      <c r="C124" s="10">
        <v>947377.22</v>
      </c>
      <c r="D124" s="10">
        <f>18947.54+37895.08+37895.08+37895.08</f>
        <v>132632.78000000003</v>
      </c>
      <c r="E124" s="10">
        <v>37895.08</v>
      </c>
      <c r="F124" s="10">
        <f t="shared" si="2"/>
        <v>814744.44</v>
      </c>
      <c r="G124" s="9" t="s">
        <v>473</v>
      </c>
      <c r="K124" s="7"/>
    </row>
    <row r="125" spans="1:11" s="11" customFormat="1">
      <c r="A125" s="9" t="s">
        <v>737</v>
      </c>
      <c r="B125" s="9" t="s">
        <v>738</v>
      </c>
      <c r="C125" s="10">
        <v>26927.14</v>
      </c>
      <c r="D125" s="10">
        <f>538.54+1077.08+1077.08+1077.08</f>
        <v>3769.7799999999997</v>
      </c>
      <c r="E125" s="10">
        <v>1077.08</v>
      </c>
      <c r="F125" s="10">
        <f t="shared" si="2"/>
        <v>23157.360000000001</v>
      </c>
      <c r="G125" s="9" t="s">
        <v>473</v>
      </c>
      <c r="K125" s="7"/>
    </row>
    <row r="126" spans="1:11" s="11" customFormat="1">
      <c r="A126" s="9" t="s">
        <v>739</v>
      </c>
      <c r="B126" s="9" t="s">
        <v>740</v>
      </c>
      <c r="C126" s="10">
        <v>4226.42</v>
      </c>
      <c r="D126" s="10">
        <f>84.52+169.05+169.05+169.05</f>
        <v>591.67000000000007</v>
      </c>
      <c r="E126" s="10">
        <v>169.05</v>
      </c>
      <c r="F126" s="10">
        <f t="shared" si="2"/>
        <v>3634.75</v>
      </c>
      <c r="G126" s="9" t="s">
        <v>473</v>
      </c>
      <c r="K126" s="7"/>
    </row>
    <row r="127" spans="1:11" s="11" customFormat="1">
      <c r="A127" s="9" t="s">
        <v>741</v>
      </c>
      <c r="B127" s="9" t="s">
        <v>742</v>
      </c>
      <c r="C127" s="10">
        <v>8901.99</v>
      </c>
      <c r="D127" s="10">
        <f>178.03+356.07+356.07+356.08</f>
        <v>1246.25</v>
      </c>
      <c r="E127" s="10">
        <v>356.08</v>
      </c>
      <c r="F127" s="10">
        <f t="shared" si="2"/>
        <v>7655.74</v>
      </c>
      <c r="G127" s="9" t="s">
        <v>473</v>
      </c>
      <c r="K127" s="7"/>
    </row>
    <row r="128" spans="1:11" s="11" customFormat="1">
      <c r="A128" s="9" t="s">
        <v>743</v>
      </c>
      <c r="B128" s="9" t="s">
        <v>744</v>
      </c>
      <c r="C128" s="10">
        <v>22233.87</v>
      </c>
      <c r="D128" s="10">
        <f>444.67+889.35+889.35+889.35</f>
        <v>3112.72</v>
      </c>
      <c r="E128" s="10">
        <v>889.35</v>
      </c>
      <c r="F128" s="10">
        <f t="shared" si="2"/>
        <v>19121.149999999998</v>
      </c>
      <c r="G128" s="9" t="s">
        <v>473</v>
      </c>
      <c r="K128" s="7"/>
    </row>
    <row r="129" spans="1:11" s="11" customFormat="1">
      <c r="A129" s="9" t="s">
        <v>766</v>
      </c>
      <c r="B129" s="9" t="s">
        <v>767</v>
      </c>
      <c r="C129" s="10">
        <v>319514.32</v>
      </c>
      <c r="D129" s="10">
        <f>6390.28+12780.57+12780.57</f>
        <v>31951.42</v>
      </c>
      <c r="E129" s="10">
        <f>12780.57</f>
        <v>12780.57</v>
      </c>
      <c r="F129" s="10">
        <f t="shared" si="2"/>
        <v>287562.90000000002</v>
      </c>
      <c r="G129" s="9" t="s">
        <v>473</v>
      </c>
      <c r="K129" s="7"/>
    </row>
    <row r="130" spans="1:11" s="11" customFormat="1">
      <c r="A130" s="9" t="s">
        <v>768</v>
      </c>
      <c r="B130" s="9" t="s">
        <v>769</v>
      </c>
      <c r="C130" s="10">
        <v>1200167.7</v>
      </c>
      <c r="D130" s="10">
        <f>24003.35+48006.7+48006.7</f>
        <v>120016.74999999999</v>
      </c>
      <c r="E130" s="10">
        <f>48006.7</f>
        <v>48006.7</v>
      </c>
      <c r="F130" s="10">
        <f t="shared" si="2"/>
        <v>1080150.95</v>
      </c>
      <c r="G130" s="9" t="s">
        <v>473</v>
      </c>
      <c r="K130" s="7"/>
    </row>
    <row r="131" spans="1:11" s="11" customFormat="1">
      <c r="A131" s="9" t="s">
        <v>770</v>
      </c>
      <c r="B131" s="9" t="s">
        <v>771</v>
      </c>
      <c r="C131" s="10">
        <v>42799.34</v>
      </c>
      <c r="D131" s="10">
        <f>855.98+1711.97+1711.97</f>
        <v>4279.92</v>
      </c>
      <c r="E131" s="10">
        <f>1711.97</f>
        <v>1711.97</v>
      </c>
      <c r="F131" s="10">
        <f t="shared" si="2"/>
        <v>38519.42</v>
      </c>
      <c r="G131" s="9" t="s">
        <v>473</v>
      </c>
      <c r="K131" s="7"/>
    </row>
    <row r="132" spans="1:11" s="11" customFormat="1">
      <c r="A132" s="9" t="s">
        <v>772</v>
      </c>
      <c r="B132" s="9" t="s">
        <v>773</v>
      </c>
      <c r="C132" s="10">
        <v>5552.01</v>
      </c>
      <c r="D132" s="10">
        <f>111.04+222.08+222.08</f>
        <v>555.20000000000005</v>
      </c>
      <c r="E132" s="10">
        <f>222.08</f>
        <v>222.08</v>
      </c>
      <c r="F132" s="10">
        <f t="shared" si="2"/>
        <v>4996.8100000000004</v>
      </c>
      <c r="G132" s="9" t="s">
        <v>473</v>
      </c>
      <c r="K132" s="7"/>
    </row>
    <row r="133" spans="1:11" s="11" customFormat="1">
      <c r="A133" s="9" t="s">
        <v>774</v>
      </c>
      <c r="B133" s="9" t="s">
        <v>775</v>
      </c>
      <c r="C133" s="10">
        <v>14188.87</v>
      </c>
      <c r="D133" s="10">
        <f>283.77+567.54+567.55</f>
        <v>1418.86</v>
      </c>
      <c r="E133" s="10">
        <f>567.55</f>
        <v>567.54999999999995</v>
      </c>
      <c r="F133" s="10">
        <f t="shared" si="2"/>
        <v>12770.01</v>
      </c>
      <c r="G133" s="9" t="s">
        <v>473</v>
      </c>
      <c r="K133" s="7"/>
    </row>
    <row r="134" spans="1:11" s="11" customFormat="1">
      <c r="A134" s="9" t="s">
        <v>776</v>
      </c>
      <c r="B134" s="9" t="s">
        <v>777</v>
      </c>
      <c r="C134" s="10">
        <v>20788.21</v>
      </c>
      <c r="D134" s="10">
        <f>415.76+831.52+831.52</f>
        <v>2078.8000000000002</v>
      </c>
      <c r="E134" s="10">
        <f>831.52</f>
        <v>831.52</v>
      </c>
      <c r="F134" s="10">
        <f t="shared" si="2"/>
        <v>18709.41</v>
      </c>
      <c r="G134" s="9" t="s">
        <v>473</v>
      </c>
      <c r="K134" s="7"/>
    </row>
    <row r="135" spans="1:11" s="11" customFormat="1">
      <c r="A135" s="9" t="s">
        <v>812</v>
      </c>
      <c r="B135" s="9" t="s">
        <v>767</v>
      </c>
      <c r="C135" s="10">
        <v>295469.46999999997</v>
      </c>
      <c r="D135" s="10">
        <f>5909.38+11818.77</f>
        <v>17728.150000000001</v>
      </c>
      <c r="E135" s="10">
        <f>11818.77</f>
        <v>11818.77</v>
      </c>
      <c r="F135" s="10">
        <f t="shared" ref="F135:F203" si="3">+C135-D135</f>
        <v>277741.31999999995</v>
      </c>
      <c r="G135" s="9" t="s">
        <v>473</v>
      </c>
      <c r="H135" s="6"/>
      <c r="I135" s="6"/>
      <c r="J135" s="6"/>
      <c r="K135" s="7"/>
    </row>
    <row r="136" spans="1:11" s="11" customFormat="1">
      <c r="A136" s="9" t="s">
        <v>813</v>
      </c>
      <c r="B136" s="9" t="s">
        <v>769</v>
      </c>
      <c r="C136" s="10">
        <v>1321214.23</v>
      </c>
      <c r="D136" s="10">
        <f>26424.28+52848.56</f>
        <v>79272.84</v>
      </c>
      <c r="E136" s="10">
        <f>52848.56</f>
        <v>52848.56</v>
      </c>
      <c r="F136" s="10">
        <f t="shared" si="3"/>
        <v>1241941.3899999999</v>
      </c>
      <c r="G136" s="9" t="s">
        <v>473</v>
      </c>
      <c r="H136" s="6"/>
      <c r="I136" s="6"/>
      <c r="J136" s="6"/>
      <c r="K136" s="7"/>
    </row>
    <row r="137" spans="1:11" s="11" customFormat="1">
      <c r="A137" s="9" t="s">
        <v>814</v>
      </c>
      <c r="B137" s="9" t="s">
        <v>771</v>
      </c>
      <c r="C137" s="10">
        <v>61727.72</v>
      </c>
      <c r="D137" s="10">
        <f>1234.55+2469.1</f>
        <v>3703.6499999999996</v>
      </c>
      <c r="E137" s="10">
        <f>2469.1</f>
        <v>2469.1</v>
      </c>
      <c r="F137" s="10">
        <f t="shared" si="3"/>
        <v>58024.07</v>
      </c>
      <c r="G137" s="9" t="s">
        <v>473</v>
      </c>
      <c r="H137" s="6"/>
      <c r="I137" s="6"/>
      <c r="J137" s="6"/>
      <c r="K137" s="7"/>
    </row>
    <row r="138" spans="1:11" s="11" customFormat="1">
      <c r="A138" s="9" t="s">
        <v>745</v>
      </c>
      <c r="B138" s="9" t="s">
        <v>746</v>
      </c>
      <c r="C138" s="10">
        <v>10779.54</v>
      </c>
      <c r="D138" s="10">
        <v>10779.54</v>
      </c>
      <c r="E138" s="10">
        <v>0</v>
      </c>
      <c r="F138" s="10">
        <f t="shared" si="3"/>
        <v>0</v>
      </c>
      <c r="G138" s="9" t="s">
        <v>473</v>
      </c>
      <c r="K138" s="7"/>
    </row>
    <row r="139" spans="1:11" s="11" customFormat="1">
      <c r="A139" s="9" t="s">
        <v>747</v>
      </c>
      <c r="B139" s="9" t="s">
        <v>748</v>
      </c>
      <c r="C139" s="10">
        <v>98333.03</v>
      </c>
      <c r="D139" s="10">
        <v>98333.03</v>
      </c>
      <c r="E139" s="10">
        <v>0</v>
      </c>
      <c r="F139" s="10">
        <f t="shared" si="3"/>
        <v>0</v>
      </c>
      <c r="G139" s="9" t="s">
        <v>473</v>
      </c>
      <c r="K139" s="7"/>
    </row>
    <row r="140" spans="1:11" s="11" customFormat="1">
      <c r="A140" s="9" t="s">
        <v>749</v>
      </c>
      <c r="B140" s="9" t="s">
        <v>750</v>
      </c>
      <c r="C140" s="10">
        <v>123267.4</v>
      </c>
      <c r="D140" s="10">
        <v>123267.4</v>
      </c>
      <c r="E140" s="10">
        <v>0</v>
      </c>
      <c r="F140" s="10">
        <f t="shared" si="3"/>
        <v>0</v>
      </c>
      <c r="G140" s="9" t="s">
        <v>473</v>
      </c>
      <c r="K140" s="7"/>
    </row>
    <row r="141" spans="1:11" s="11" customFormat="1">
      <c r="A141" s="9" t="s">
        <v>751</v>
      </c>
      <c r="B141" s="9" t="s">
        <v>752</v>
      </c>
      <c r="C141" s="10">
        <v>15486.16</v>
      </c>
      <c r="D141" s="10">
        <v>15486.16</v>
      </c>
      <c r="E141" s="10">
        <v>0</v>
      </c>
      <c r="F141" s="10">
        <f t="shared" si="3"/>
        <v>0</v>
      </c>
      <c r="G141" s="9" t="s">
        <v>473</v>
      </c>
      <c r="K141" s="7"/>
    </row>
    <row r="142" spans="1:11" s="11" customFormat="1">
      <c r="A142" s="9" t="s">
        <v>753</v>
      </c>
      <c r="B142" s="9" t="s">
        <v>754</v>
      </c>
      <c r="C142" s="10">
        <v>133571.95000000001</v>
      </c>
      <c r="D142" s="10">
        <v>133571.95000000001</v>
      </c>
      <c r="E142" s="10">
        <v>0</v>
      </c>
      <c r="F142" s="10">
        <f t="shared" si="3"/>
        <v>0</v>
      </c>
      <c r="G142" s="9" t="s">
        <v>473</v>
      </c>
      <c r="K142" s="7"/>
    </row>
    <row r="143" spans="1:11" s="11" customFormat="1">
      <c r="A143" s="9" t="s">
        <v>755</v>
      </c>
      <c r="B143" s="9" t="s">
        <v>756</v>
      </c>
      <c r="C143" s="10">
        <v>123764.47</v>
      </c>
      <c r="D143" s="10">
        <v>123764.47</v>
      </c>
      <c r="E143" s="10">
        <v>0</v>
      </c>
      <c r="F143" s="10">
        <f t="shared" si="3"/>
        <v>0</v>
      </c>
      <c r="G143" s="9" t="s">
        <v>473</v>
      </c>
      <c r="K143" s="7"/>
    </row>
    <row r="144" spans="1:11" s="11" customFormat="1">
      <c r="A144" s="9" t="s">
        <v>523</v>
      </c>
      <c r="B144" s="9" t="s">
        <v>524</v>
      </c>
      <c r="C144" s="10">
        <v>179417.99</v>
      </c>
      <c r="D144" s="10">
        <f>132769.31+7176.72+7176.72+7176.72</f>
        <v>154299.47</v>
      </c>
      <c r="E144" s="10">
        <v>7176.72</v>
      </c>
      <c r="F144" s="10">
        <f t="shared" si="3"/>
        <v>25118.51999999999</v>
      </c>
      <c r="G144" s="9" t="s">
        <v>473</v>
      </c>
      <c r="K144" s="7"/>
    </row>
    <row r="145" spans="1:11" s="11" customFormat="1">
      <c r="A145" s="9" t="s">
        <v>525</v>
      </c>
      <c r="B145" s="9" t="s">
        <v>526</v>
      </c>
      <c r="C145" s="10">
        <v>8551.7999999999993</v>
      </c>
      <c r="D145" s="10">
        <f>5986.22+342.07+342.07+342.08</f>
        <v>7012.44</v>
      </c>
      <c r="E145" s="10">
        <v>342.08</v>
      </c>
      <c r="F145" s="10">
        <f t="shared" si="3"/>
        <v>1539.3599999999997</v>
      </c>
      <c r="G145" s="9" t="s">
        <v>473</v>
      </c>
      <c r="K145" s="7"/>
    </row>
    <row r="146" spans="1:11" s="11" customFormat="1">
      <c r="A146" s="9" t="s">
        <v>527</v>
      </c>
      <c r="B146" s="9" t="s">
        <v>528</v>
      </c>
      <c r="C146" s="10">
        <v>7314</v>
      </c>
      <c r="D146" s="10">
        <f>4827.24+292.56+292.56+292.56</f>
        <v>5704.920000000001</v>
      </c>
      <c r="E146" s="10">
        <v>292.56</v>
      </c>
      <c r="F146" s="10">
        <f t="shared" si="3"/>
        <v>1609.079999999999</v>
      </c>
      <c r="G146" s="9" t="s">
        <v>473</v>
      </c>
      <c r="H146" s="8"/>
      <c r="I146" s="8"/>
      <c r="J146" s="8"/>
      <c r="K146" s="7"/>
    </row>
    <row r="147" spans="1:11" s="11" customFormat="1">
      <c r="A147" s="9" t="s">
        <v>529</v>
      </c>
      <c r="B147" s="9" t="s">
        <v>530</v>
      </c>
      <c r="C147" s="10">
        <v>492773.81</v>
      </c>
      <c r="D147" s="10">
        <f>305519.72+19710.95+19710.95+19710.95</f>
        <v>364652.57</v>
      </c>
      <c r="E147" s="10">
        <v>19710.95</v>
      </c>
      <c r="F147" s="10">
        <f t="shared" si="3"/>
        <v>128121.23999999999</v>
      </c>
      <c r="G147" s="9" t="s">
        <v>473</v>
      </c>
      <c r="H147" s="8"/>
      <c r="I147" s="8"/>
      <c r="J147" s="8"/>
      <c r="K147" s="7"/>
    </row>
    <row r="148" spans="1:11" s="11" customFormat="1">
      <c r="A148" s="9" t="s">
        <v>531</v>
      </c>
      <c r="B148" s="9" t="s">
        <v>532</v>
      </c>
      <c r="C148" s="10">
        <v>273195.12</v>
      </c>
      <c r="D148" s="10">
        <f>158453.11+10927.81+10927.81+10927.81</f>
        <v>191236.53999999998</v>
      </c>
      <c r="E148" s="10">
        <v>10927.81</v>
      </c>
      <c r="F148" s="10">
        <f t="shared" si="3"/>
        <v>81958.580000000016</v>
      </c>
      <c r="G148" s="9" t="s">
        <v>473</v>
      </c>
      <c r="H148" s="8"/>
      <c r="I148" s="8"/>
      <c r="J148" s="8"/>
      <c r="K148" s="7"/>
    </row>
    <row r="149" spans="1:11" s="11" customFormat="1">
      <c r="A149" s="9" t="s">
        <v>533</v>
      </c>
      <c r="B149" s="9" t="s">
        <v>534</v>
      </c>
      <c r="C149" s="10">
        <v>341218.03</v>
      </c>
      <c r="D149" s="10">
        <f>211555.16+13648.72+13648.72+13648.72</f>
        <v>252501.32</v>
      </c>
      <c r="E149" s="10">
        <v>13648.72</v>
      </c>
      <c r="F149" s="10">
        <f t="shared" si="3"/>
        <v>88716.710000000021</v>
      </c>
      <c r="G149" s="9" t="s">
        <v>473</v>
      </c>
      <c r="H149" s="8"/>
      <c r="I149" s="8"/>
      <c r="J149" s="8"/>
      <c r="K149" s="7"/>
    </row>
    <row r="150" spans="1:11" s="11" customFormat="1">
      <c r="A150" s="9" t="s">
        <v>471</v>
      </c>
      <c r="B150" s="9" t="s">
        <v>472</v>
      </c>
      <c r="C150" s="10">
        <v>32705.24</v>
      </c>
      <c r="D150" s="10">
        <f>18969.04+1308.21+1308.21+1308.21</f>
        <v>22893.67</v>
      </c>
      <c r="E150" s="10">
        <v>1308.21</v>
      </c>
      <c r="F150" s="10">
        <f t="shared" si="3"/>
        <v>9811.5700000000033</v>
      </c>
      <c r="G150" s="9" t="s">
        <v>473</v>
      </c>
      <c r="H150" s="8"/>
      <c r="I150" s="8"/>
      <c r="J150" s="8"/>
      <c r="K150" s="7"/>
    </row>
    <row r="151" spans="1:11" s="11" customFormat="1">
      <c r="A151" s="9" t="s">
        <v>474</v>
      </c>
      <c r="B151" s="9" t="s">
        <v>472</v>
      </c>
      <c r="C151" s="10">
        <v>32705.24</v>
      </c>
      <c r="D151" s="10">
        <f>18969.04+1308.21+1308.21+1308.21</f>
        <v>22893.67</v>
      </c>
      <c r="E151" s="10">
        <v>1308.21</v>
      </c>
      <c r="F151" s="10">
        <f t="shared" si="3"/>
        <v>9811.5700000000033</v>
      </c>
      <c r="G151" s="9" t="s">
        <v>473</v>
      </c>
      <c r="H151" s="8"/>
      <c r="I151" s="8"/>
      <c r="J151" s="8"/>
      <c r="K151" s="7"/>
    </row>
    <row r="152" spans="1:11" s="11" customFormat="1">
      <c r="A152" s="9" t="s">
        <v>757</v>
      </c>
      <c r="B152" s="9" t="s">
        <v>758</v>
      </c>
      <c r="C152" s="10">
        <v>125758</v>
      </c>
      <c r="D152" s="10">
        <f>72939.63+5030.32+5030.32+5030.32</f>
        <v>88030.590000000026</v>
      </c>
      <c r="E152" s="10">
        <v>5030.32</v>
      </c>
      <c r="F152" s="10">
        <f t="shared" si="3"/>
        <v>37727.409999999974</v>
      </c>
      <c r="G152" s="9" t="s">
        <v>473</v>
      </c>
      <c r="H152" s="8"/>
      <c r="I152" s="8"/>
      <c r="J152" s="8"/>
      <c r="K152" s="7"/>
    </row>
    <row r="153" spans="1:11" s="11" customFormat="1">
      <c r="A153" s="9" t="s">
        <v>535</v>
      </c>
      <c r="B153" s="9" t="s">
        <v>536</v>
      </c>
      <c r="C153" s="10">
        <v>439035.53</v>
      </c>
      <c r="D153" s="10">
        <f>254640.59+17561.42+17561.42+17561.42</f>
        <v>307324.84999999998</v>
      </c>
      <c r="E153" s="10">
        <v>17561.419999999998</v>
      </c>
      <c r="F153" s="10">
        <f t="shared" si="3"/>
        <v>131710.68000000005</v>
      </c>
      <c r="G153" s="9" t="s">
        <v>473</v>
      </c>
      <c r="H153" s="8"/>
      <c r="I153" s="8"/>
      <c r="J153" s="8"/>
      <c r="K153" s="7"/>
    </row>
    <row r="154" spans="1:11" s="11" customFormat="1">
      <c r="A154" s="9" t="s">
        <v>537</v>
      </c>
      <c r="B154" s="9" t="s">
        <v>538</v>
      </c>
      <c r="C154" s="10">
        <v>38017.07</v>
      </c>
      <c r="D154" s="10">
        <f>20529.18+1520.68+1520.68+1520.68</f>
        <v>25091.22</v>
      </c>
      <c r="E154" s="10">
        <v>1520.68</v>
      </c>
      <c r="F154" s="10">
        <f t="shared" si="3"/>
        <v>12925.849999999999</v>
      </c>
      <c r="G154" s="9" t="s">
        <v>473</v>
      </c>
      <c r="H154" s="8"/>
      <c r="I154" s="8"/>
      <c r="J154" s="8"/>
      <c r="K154" s="7"/>
    </row>
    <row r="155" spans="1:11" s="11" customFormat="1">
      <c r="A155" s="9" t="s">
        <v>539</v>
      </c>
      <c r="B155" s="9" t="s">
        <v>540</v>
      </c>
      <c r="C155" s="10">
        <v>59115.199999999997</v>
      </c>
      <c r="D155" s="10">
        <f>1182.3+2364.6+2364.6+2364.6</f>
        <v>8276.1</v>
      </c>
      <c r="E155" s="10">
        <v>2364.6</v>
      </c>
      <c r="F155" s="10">
        <f t="shared" si="3"/>
        <v>50839.1</v>
      </c>
      <c r="G155" s="9" t="s">
        <v>473</v>
      </c>
      <c r="H155" s="8"/>
      <c r="I155" s="8"/>
      <c r="J155" s="8"/>
      <c r="K155" s="7"/>
    </row>
    <row r="156" spans="1:11" s="11" customFormat="1">
      <c r="A156" s="9" t="s">
        <v>541</v>
      </c>
      <c r="B156" s="9" t="s">
        <v>542</v>
      </c>
      <c r="C156" s="10">
        <v>3784791</v>
      </c>
      <c r="D156" s="10">
        <f>75695.82+151391.64+151391.64+151391.64</f>
        <v>529870.74</v>
      </c>
      <c r="E156" s="10">
        <v>151391.64000000001</v>
      </c>
      <c r="F156" s="10">
        <f t="shared" si="3"/>
        <v>3254920.26</v>
      </c>
      <c r="G156" s="9" t="s">
        <v>473</v>
      </c>
      <c r="H156" s="8"/>
      <c r="I156" s="8"/>
      <c r="J156" s="8"/>
      <c r="K156" s="7"/>
    </row>
    <row r="157" spans="1:11" s="11" customFormat="1">
      <c r="A157" s="9" t="s">
        <v>543</v>
      </c>
      <c r="B157" s="9" t="s">
        <v>544</v>
      </c>
      <c r="C157" s="10">
        <v>141438.69</v>
      </c>
      <c r="D157" s="10">
        <f>2828.77+5657.54+5657.54+5657.54</f>
        <v>19801.39</v>
      </c>
      <c r="E157" s="10">
        <v>5657.54</v>
      </c>
      <c r="F157" s="10">
        <f t="shared" si="3"/>
        <v>121637.3</v>
      </c>
      <c r="G157" s="9" t="s">
        <v>473</v>
      </c>
      <c r="H157" s="8"/>
      <c r="I157" s="8"/>
      <c r="J157" s="8"/>
      <c r="K157" s="7"/>
    </row>
    <row r="158" spans="1:11" s="11" customFormat="1">
      <c r="A158" s="9" t="s">
        <v>778</v>
      </c>
      <c r="B158" s="9" t="s">
        <v>779</v>
      </c>
      <c r="C158" s="10">
        <v>261360.03</v>
      </c>
      <c r="D158" s="10">
        <f>5227.2+10454.4+10454.4</f>
        <v>26136</v>
      </c>
      <c r="E158" s="10">
        <f>10454.4</f>
        <v>10454.4</v>
      </c>
      <c r="F158" s="10">
        <f t="shared" si="3"/>
        <v>235224.03</v>
      </c>
      <c r="G158" s="9" t="s">
        <v>473</v>
      </c>
      <c r="H158" s="8"/>
      <c r="I158" s="8"/>
      <c r="J158" s="8"/>
      <c r="K158" s="7"/>
    </row>
    <row r="159" spans="1:11" s="11" customFormat="1">
      <c r="A159" s="9" t="s">
        <v>549</v>
      </c>
      <c r="B159" s="9" t="s">
        <v>550</v>
      </c>
      <c r="C159" s="10">
        <v>62299.93</v>
      </c>
      <c r="D159" s="10">
        <v>62299.93</v>
      </c>
      <c r="E159" s="10">
        <v>0</v>
      </c>
      <c r="F159" s="10">
        <f t="shared" si="3"/>
        <v>0</v>
      </c>
      <c r="G159" s="9" t="s">
        <v>473</v>
      </c>
      <c r="H159" s="6"/>
      <c r="I159" s="6"/>
      <c r="J159" s="6"/>
      <c r="K159" s="7"/>
    </row>
    <row r="160" spans="1:11" s="11" customFormat="1">
      <c r="A160" s="9" t="s">
        <v>551</v>
      </c>
      <c r="B160" s="9" t="s">
        <v>552</v>
      </c>
      <c r="C160" s="10">
        <v>15759.46</v>
      </c>
      <c r="D160" s="10">
        <v>15759.46</v>
      </c>
      <c r="E160" s="10">
        <v>0</v>
      </c>
      <c r="F160" s="10">
        <f t="shared" si="3"/>
        <v>0</v>
      </c>
      <c r="G160" s="9" t="s">
        <v>473</v>
      </c>
      <c r="H160" s="6"/>
      <c r="I160" s="6"/>
      <c r="J160" s="6"/>
      <c r="K160" s="7"/>
    </row>
    <row r="161" spans="1:11" s="11" customFormat="1">
      <c r="A161" s="9" t="s">
        <v>553</v>
      </c>
      <c r="B161" s="9" t="s">
        <v>554</v>
      </c>
      <c r="C161" s="10">
        <v>17947.57</v>
      </c>
      <c r="D161" s="10">
        <f>8973.77+3589.52+3589.52+1794.76</f>
        <v>17947.57</v>
      </c>
      <c r="E161" s="10">
        <f>1794.76</f>
        <v>1794.76</v>
      </c>
      <c r="F161" s="10">
        <f t="shared" si="3"/>
        <v>0</v>
      </c>
      <c r="G161" s="9" t="s">
        <v>473</v>
      </c>
      <c r="H161" s="6"/>
      <c r="I161" s="6"/>
      <c r="J161" s="6"/>
      <c r="K161" s="7"/>
    </row>
    <row r="162" spans="1:11" s="11" customFormat="1">
      <c r="A162" s="9" t="s">
        <v>475</v>
      </c>
      <c r="B162" s="9" t="s">
        <v>476</v>
      </c>
      <c r="C162" s="10">
        <v>313528.71000000002</v>
      </c>
      <c r="D162" s="10">
        <f>94058.58+12541.15+12541.15+12541.15</f>
        <v>131682.03</v>
      </c>
      <c r="E162" s="10">
        <v>12541.15</v>
      </c>
      <c r="F162" s="10">
        <f t="shared" si="3"/>
        <v>181846.68000000002</v>
      </c>
      <c r="G162" s="9" t="s">
        <v>473</v>
      </c>
      <c r="H162" s="8"/>
      <c r="I162" s="8"/>
      <c r="J162" s="8"/>
      <c r="K162" s="7"/>
    </row>
    <row r="163" spans="1:11" s="11" customFormat="1">
      <c r="A163" s="9" t="s">
        <v>477</v>
      </c>
      <c r="B163" s="9" t="s">
        <v>478</v>
      </c>
      <c r="C163" s="10">
        <v>22287</v>
      </c>
      <c r="D163" s="10">
        <v>0</v>
      </c>
      <c r="E163" s="10">
        <v>0</v>
      </c>
      <c r="F163" s="10">
        <f t="shared" si="3"/>
        <v>22287</v>
      </c>
      <c r="G163" s="9" t="s">
        <v>473</v>
      </c>
      <c r="K163" s="7"/>
    </row>
    <row r="164" spans="1:11" s="11" customFormat="1">
      <c r="A164" s="9" t="s">
        <v>545</v>
      </c>
      <c r="B164" s="9" t="s">
        <v>546</v>
      </c>
      <c r="C164" s="10">
        <v>31611.21</v>
      </c>
      <c r="D164" s="10">
        <f>15805.6+6322.24+6322.24+3161.13</f>
        <v>31611.210000000003</v>
      </c>
      <c r="E164" s="10">
        <f>3161.13</f>
        <v>3161.13</v>
      </c>
      <c r="F164" s="10">
        <f t="shared" si="3"/>
        <v>0</v>
      </c>
      <c r="G164" s="9" t="s">
        <v>473</v>
      </c>
      <c r="K164" s="7"/>
    </row>
    <row r="165" spans="1:11" s="11" customFormat="1">
      <c r="A165" s="9" t="s">
        <v>759</v>
      </c>
      <c r="B165" s="9" t="s">
        <v>760</v>
      </c>
      <c r="C165" s="10">
        <v>37287.79</v>
      </c>
      <c r="D165" s="10">
        <f>2237.26+1491.51+1491.51+1491.51</f>
        <v>6711.7900000000009</v>
      </c>
      <c r="E165" s="10">
        <v>1491.51</v>
      </c>
      <c r="F165" s="10">
        <f t="shared" si="3"/>
        <v>30576</v>
      </c>
      <c r="G165" s="9" t="s">
        <v>473</v>
      </c>
      <c r="H165" s="6"/>
      <c r="I165" s="6"/>
      <c r="J165" s="6"/>
      <c r="K165" s="7"/>
    </row>
    <row r="166" spans="1:11" s="11" customFormat="1">
      <c r="A166" s="9" t="s">
        <v>547</v>
      </c>
      <c r="B166" s="9" t="s">
        <v>548</v>
      </c>
      <c r="C166" s="10">
        <v>166763.71</v>
      </c>
      <c r="D166" s="10">
        <f>16676.37+33352.74+33352.74+33352.74</f>
        <v>116734.59</v>
      </c>
      <c r="E166" s="10">
        <v>33352.74</v>
      </c>
      <c r="F166" s="10">
        <f t="shared" si="3"/>
        <v>50029.119999999995</v>
      </c>
      <c r="G166" s="9" t="s">
        <v>473</v>
      </c>
      <c r="H166" s="6"/>
      <c r="I166" s="6"/>
      <c r="J166" s="6"/>
      <c r="K166" s="7"/>
    </row>
    <row r="167" spans="1:11" s="11" customFormat="1">
      <c r="A167" s="9" t="s">
        <v>761</v>
      </c>
      <c r="B167" s="9" t="s">
        <v>548</v>
      </c>
      <c r="C167" s="10">
        <v>6121.8</v>
      </c>
      <c r="D167" s="10">
        <f>612.18+1224.36+1224.36</f>
        <v>3060.8999999999996</v>
      </c>
      <c r="E167" s="10">
        <f>1224.36</f>
        <v>1224.3599999999999</v>
      </c>
      <c r="F167" s="10">
        <f t="shared" si="3"/>
        <v>3060.9000000000005</v>
      </c>
      <c r="G167" s="9" t="s">
        <v>473</v>
      </c>
      <c r="H167" s="6"/>
      <c r="I167" s="6"/>
      <c r="J167" s="6"/>
      <c r="K167" s="7"/>
    </row>
    <row r="168" spans="1:11" s="11" customFormat="1">
      <c r="A168" s="9" t="s">
        <v>762</v>
      </c>
      <c r="B168" s="9" t="s">
        <v>763</v>
      </c>
      <c r="C168" s="10">
        <v>489442.63</v>
      </c>
      <c r="D168" s="10">
        <f>9788.85+19577.7+19577.7</f>
        <v>48944.25</v>
      </c>
      <c r="E168" s="10">
        <f>19577.7</f>
        <v>19577.7</v>
      </c>
      <c r="F168" s="10">
        <f t="shared" si="3"/>
        <v>440498.38</v>
      </c>
      <c r="G168" s="9" t="s">
        <v>473</v>
      </c>
      <c r="H168" s="6"/>
      <c r="I168" s="6"/>
      <c r="J168" s="6"/>
      <c r="K168" s="7"/>
    </row>
    <row r="169" spans="1:11" s="11" customFormat="1">
      <c r="A169" s="9" t="s">
        <v>764</v>
      </c>
      <c r="B169" s="9" t="s">
        <v>765</v>
      </c>
      <c r="C169" s="10">
        <v>6831.4</v>
      </c>
      <c r="D169" s="10">
        <f>136.62+273.25+273.25</f>
        <v>683.12</v>
      </c>
      <c r="E169" s="10">
        <f>273.25</f>
        <v>273.25</v>
      </c>
      <c r="F169" s="10">
        <f t="shared" si="3"/>
        <v>6148.28</v>
      </c>
      <c r="G169" s="9" t="s">
        <v>473</v>
      </c>
      <c r="H169" s="6"/>
      <c r="I169" s="6"/>
      <c r="J169" s="6"/>
      <c r="K169" s="7"/>
    </row>
    <row r="170" spans="1:11" s="11" customFormat="1">
      <c r="A170" s="9" t="s">
        <v>807</v>
      </c>
      <c r="B170" s="9" t="s">
        <v>805</v>
      </c>
      <c r="C170" s="10">
        <f>31802</f>
        <v>31802</v>
      </c>
      <c r="D170" s="10">
        <f>1325.08+2650.16</f>
        <v>3975.24</v>
      </c>
      <c r="E170" s="10">
        <f>2650.16</f>
        <v>2650.16</v>
      </c>
      <c r="F170" s="10">
        <f t="shared" si="3"/>
        <v>27826.760000000002</v>
      </c>
      <c r="G170" s="9" t="s">
        <v>473</v>
      </c>
      <c r="H170" s="6"/>
      <c r="I170" s="6"/>
      <c r="J170" s="6"/>
      <c r="K170" s="7"/>
    </row>
    <row r="171" spans="1:11" s="11" customFormat="1">
      <c r="A171" s="9" t="s">
        <v>838</v>
      </c>
      <c r="B171" s="12" t="s">
        <v>834</v>
      </c>
      <c r="C171" s="13">
        <v>52196.79</v>
      </c>
      <c r="D171" s="10">
        <f>1043.93</f>
        <v>1043.93</v>
      </c>
      <c r="E171" s="10">
        <f>1043.93</f>
        <v>1043.93</v>
      </c>
      <c r="F171" s="10">
        <f t="shared" ref="F171:F175" si="4">+C171-D171</f>
        <v>51152.86</v>
      </c>
      <c r="G171" s="9" t="s">
        <v>473</v>
      </c>
      <c r="H171" s="6" t="s">
        <v>848</v>
      </c>
      <c r="I171" s="6"/>
      <c r="J171" s="6"/>
      <c r="K171" s="7"/>
    </row>
    <row r="172" spans="1:11" s="11" customFormat="1">
      <c r="A172" s="9" t="s">
        <v>839</v>
      </c>
      <c r="B172" s="12" t="s">
        <v>835</v>
      </c>
      <c r="C172" s="13">
        <v>62325.2</v>
      </c>
      <c r="D172" s="10">
        <f>1246.5</f>
        <v>1246.5</v>
      </c>
      <c r="E172" s="10">
        <f>1246.5</f>
        <v>1246.5</v>
      </c>
      <c r="F172" s="10">
        <f t="shared" si="4"/>
        <v>61078.7</v>
      </c>
      <c r="G172" s="9" t="s">
        <v>473</v>
      </c>
      <c r="H172" s="6" t="s">
        <v>848</v>
      </c>
      <c r="I172" s="6"/>
      <c r="J172" s="6"/>
      <c r="K172" s="7"/>
    </row>
    <row r="173" spans="1:11" s="11" customFormat="1">
      <c r="A173" s="9" t="s">
        <v>840</v>
      </c>
      <c r="B173" s="12" t="s">
        <v>836</v>
      </c>
      <c r="C173" s="13">
        <v>30945.41</v>
      </c>
      <c r="D173" s="10">
        <f>618.9</f>
        <v>618.9</v>
      </c>
      <c r="E173" s="10">
        <f>618.9</f>
        <v>618.9</v>
      </c>
      <c r="F173" s="10">
        <f t="shared" si="4"/>
        <v>30326.51</v>
      </c>
      <c r="G173" s="9" t="s">
        <v>473</v>
      </c>
      <c r="H173" s="6" t="s">
        <v>848</v>
      </c>
      <c r="I173" s="6"/>
      <c r="J173" s="6"/>
      <c r="K173" s="7"/>
    </row>
    <row r="174" spans="1:11" s="11" customFormat="1">
      <c r="A174" s="9" t="s">
        <v>794</v>
      </c>
      <c r="B174" s="9" t="s">
        <v>792</v>
      </c>
      <c r="C174" s="10">
        <f>137978.47</f>
        <v>137978.47</v>
      </c>
      <c r="D174" s="10">
        <f>2759.56</f>
        <v>2759.56</v>
      </c>
      <c r="E174" s="10">
        <f>2759.56</f>
        <v>2759.56</v>
      </c>
      <c r="F174" s="10">
        <f>+C174-D174</f>
        <v>135218.91</v>
      </c>
      <c r="G174" s="9" t="s">
        <v>473</v>
      </c>
      <c r="H174" s="6"/>
      <c r="I174" s="6"/>
      <c r="J174" s="6"/>
      <c r="K174" s="7"/>
    </row>
    <row r="175" spans="1:11" s="11" customFormat="1">
      <c r="A175" s="9" t="s">
        <v>841</v>
      </c>
      <c r="B175" s="12" t="s">
        <v>792</v>
      </c>
      <c r="C175" s="13">
        <v>256777.19</v>
      </c>
      <c r="D175" s="10">
        <f>5135.54</f>
        <v>5135.54</v>
      </c>
      <c r="E175" s="10">
        <f>5135.54</f>
        <v>5135.54</v>
      </c>
      <c r="F175" s="10">
        <f t="shared" si="4"/>
        <v>251641.65</v>
      </c>
      <c r="G175" s="9" t="s">
        <v>473</v>
      </c>
      <c r="H175" s="6" t="s">
        <v>848</v>
      </c>
      <c r="I175" s="6"/>
      <c r="J175" s="6"/>
      <c r="K175" s="7"/>
    </row>
    <row r="176" spans="1:11" s="11" customFormat="1">
      <c r="A176" s="9" t="s">
        <v>847</v>
      </c>
      <c r="B176" s="12" t="s">
        <v>846</v>
      </c>
      <c r="C176" s="13">
        <f>5045.6</f>
        <v>5045.6000000000004</v>
      </c>
      <c r="D176" s="10">
        <f>252.28</f>
        <v>252.28</v>
      </c>
      <c r="E176" s="10">
        <f>252.28</f>
        <v>252.28</v>
      </c>
      <c r="F176" s="10">
        <f t="shared" ref="F176" si="5">+C176-D176</f>
        <v>4793.3200000000006</v>
      </c>
      <c r="G176" s="9" t="s">
        <v>473</v>
      </c>
      <c r="H176" s="6" t="s">
        <v>848</v>
      </c>
      <c r="I176" s="6"/>
      <c r="J176" s="6"/>
      <c r="K176" s="7"/>
    </row>
    <row r="177" spans="1:11" s="11" customFormat="1">
      <c r="A177" s="9" t="s">
        <v>831</v>
      </c>
      <c r="B177" s="12" t="s">
        <v>824</v>
      </c>
      <c r="C177" s="13">
        <f>63126.64*0.5</f>
        <v>31563.32</v>
      </c>
      <c r="D177" s="10">
        <f>6312.66*0.5</f>
        <v>3156.33</v>
      </c>
      <c r="E177" s="10">
        <f>6312.66*0.5</f>
        <v>3156.33</v>
      </c>
      <c r="F177" s="10">
        <f>+C177-D177</f>
        <v>28406.989999999998</v>
      </c>
      <c r="G177" s="9" t="s">
        <v>473</v>
      </c>
      <c r="H177" s="6"/>
      <c r="I177" s="6"/>
      <c r="J177" s="6"/>
      <c r="K177" s="7"/>
    </row>
    <row r="178" spans="1:11" s="11" customFormat="1">
      <c r="A178" s="14" t="s">
        <v>184</v>
      </c>
      <c r="B178" s="14" t="s">
        <v>185</v>
      </c>
      <c r="C178" s="15">
        <v>496811.6</v>
      </c>
      <c r="D178" s="15">
        <v>0</v>
      </c>
      <c r="E178" s="15">
        <v>0</v>
      </c>
      <c r="F178" s="15">
        <f t="shared" si="3"/>
        <v>496811.6</v>
      </c>
      <c r="G178" s="14" t="s">
        <v>9</v>
      </c>
      <c r="K178" s="7"/>
    </row>
    <row r="179" spans="1:11" s="11" customFormat="1">
      <c r="A179" s="16" t="s">
        <v>44</v>
      </c>
      <c r="B179" s="16" t="s">
        <v>45</v>
      </c>
      <c r="C179" s="17">
        <v>488133.99</v>
      </c>
      <c r="D179" s="17">
        <v>0</v>
      </c>
      <c r="E179" s="17">
        <v>0</v>
      </c>
      <c r="F179" s="17">
        <f t="shared" si="3"/>
        <v>488133.99</v>
      </c>
      <c r="G179" s="14" t="s">
        <v>9</v>
      </c>
      <c r="K179" s="7"/>
    </row>
    <row r="180" spans="1:11" s="11" customFormat="1">
      <c r="A180" s="16" t="s">
        <v>46</v>
      </c>
      <c r="B180" s="16" t="s">
        <v>47</v>
      </c>
      <c r="C180" s="17">
        <v>187628.29</v>
      </c>
      <c r="D180" s="17">
        <v>0</v>
      </c>
      <c r="E180" s="17">
        <v>0</v>
      </c>
      <c r="F180" s="17">
        <f t="shared" si="3"/>
        <v>187628.29</v>
      </c>
      <c r="G180" s="14" t="s">
        <v>9</v>
      </c>
      <c r="K180" s="7"/>
    </row>
    <row r="181" spans="1:11" s="11" customFormat="1">
      <c r="A181" s="16" t="s">
        <v>48</v>
      </c>
      <c r="B181" s="16" t="s">
        <v>49</v>
      </c>
      <c r="C181" s="17">
        <v>12356.35</v>
      </c>
      <c r="D181" s="17">
        <v>0</v>
      </c>
      <c r="E181" s="17">
        <v>0</v>
      </c>
      <c r="F181" s="17">
        <f t="shared" si="3"/>
        <v>12356.35</v>
      </c>
      <c r="G181" s="14" t="s">
        <v>9</v>
      </c>
      <c r="K181" s="7"/>
    </row>
    <row r="182" spans="1:11" s="11" customFormat="1">
      <c r="A182" s="16" t="s">
        <v>50</v>
      </c>
      <c r="B182" s="16" t="s">
        <v>51</v>
      </c>
      <c r="C182" s="17">
        <v>60816.01</v>
      </c>
      <c r="D182" s="17">
        <v>0</v>
      </c>
      <c r="E182" s="17">
        <v>0</v>
      </c>
      <c r="F182" s="17">
        <f t="shared" si="3"/>
        <v>60816.01</v>
      </c>
      <c r="G182" s="14" t="s">
        <v>9</v>
      </c>
      <c r="K182" s="7"/>
    </row>
    <row r="183" spans="1:11" s="11" customFormat="1">
      <c r="A183" s="16" t="s">
        <v>52</v>
      </c>
      <c r="B183" s="16" t="s">
        <v>53</v>
      </c>
      <c r="C183" s="17">
        <v>45617427</v>
      </c>
      <c r="D183" s="17">
        <v>45617427</v>
      </c>
      <c r="E183" s="17">
        <v>0</v>
      </c>
      <c r="F183" s="17">
        <f t="shared" si="3"/>
        <v>0</v>
      </c>
      <c r="G183" s="14" t="s">
        <v>9</v>
      </c>
      <c r="K183" s="7"/>
    </row>
    <row r="184" spans="1:11" s="11" customFormat="1">
      <c r="A184" s="16" t="s">
        <v>16</v>
      </c>
      <c r="B184" s="16" t="s">
        <v>17</v>
      </c>
      <c r="C184" s="17">
        <v>18619</v>
      </c>
      <c r="D184" s="17">
        <v>18619</v>
      </c>
      <c r="E184" s="17">
        <v>0</v>
      </c>
      <c r="F184" s="17">
        <f t="shared" si="3"/>
        <v>0</v>
      </c>
      <c r="G184" s="14" t="s">
        <v>9</v>
      </c>
      <c r="K184" s="7"/>
    </row>
    <row r="185" spans="1:11" s="11" customFormat="1">
      <c r="A185" s="16" t="s">
        <v>7</v>
      </c>
      <c r="B185" s="16" t="s">
        <v>8</v>
      </c>
      <c r="C185" s="17">
        <v>11734.02</v>
      </c>
      <c r="D185" s="17">
        <f>8683.16+469.36+469.36+469.36</f>
        <v>10091.240000000002</v>
      </c>
      <c r="E185" s="17">
        <v>469.36</v>
      </c>
      <c r="F185" s="17">
        <f t="shared" si="3"/>
        <v>1642.7799999999988</v>
      </c>
      <c r="G185" s="14" t="s">
        <v>9</v>
      </c>
      <c r="K185" s="7"/>
    </row>
    <row r="186" spans="1:11" s="11" customFormat="1">
      <c r="A186" s="16" t="s">
        <v>54</v>
      </c>
      <c r="B186" s="16" t="s">
        <v>55</v>
      </c>
      <c r="C186" s="17">
        <v>31419.58</v>
      </c>
      <c r="D186" s="17">
        <f>23250.44+1256.79+1256.79+1256.79</f>
        <v>27020.81</v>
      </c>
      <c r="E186" s="17">
        <v>1256.79</v>
      </c>
      <c r="F186" s="17">
        <f t="shared" si="3"/>
        <v>4398.7700000000004</v>
      </c>
      <c r="G186" s="14" t="s">
        <v>9</v>
      </c>
      <c r="K186" s="7"/>
    </row>
    <row r="187" spans="1:11" s="11" customFormat="1">
      <c r="A187" s="16" t="s">
        <v>56</v>
      </c>
      <c r="B187" s="16" t="s">
        <v>57</v>
      </c>
      <c r="C187" s="17">
        <v>123902.38</v>
      </c>
      <c r="D187" s="17">
        <f>86731.62+4956.1+4956.1+4956.1</f>
        <v>101599.92000000001</v>
      </c>
      <c r="E187" s="17">
        <v>4956.1000000000004</v>
      </c>
      <c r="F187" s="17">
        <f t="shared" si="3"/>
        <v>22302.459999999992</v>
      </c>
      <c r="G187" s="14" t="s">
        <v>9</v>
      </c>
      <c r="K187" s="7"/>
    </row>
    <row r="188" spans="1:11" s="11" customFormat="1">
      <c r="A188" s="16" t="s">
        <v>58</v>
      </c>
      <c r="B188" s="16" t="s">
        <v>59</v>
      </c>
      <c r="C188" s="17">
        <v>12311.54</v>
      </c>
      <c r="D188" s="17">
        <f>8125.59+492.46+492.46+492.46</f>
        <v>9602.9699999999975</v>
      </c>
      <c r="E188" s="17">
        <v>492.46</v>
      </c>
      <c r="F188" s="17">
        <f t="shared" si="3"/>
        <v>2708.5700000000033</v>
      </c>
      <c r="G188" s="14" t="s">
        <v>9</v>
      </c>
      <c r="K188" s="7"/>
    </row>
    <row r="189" spans="1:11" s="11" customFormat="1">
      <c r="A189" s="16" t="s">
        <v>60</v>
      </c>
      <c r="B189" s="16" t="s">
        <v>61</v>
      </c>
      <c r="C189" s="17">
        <v>21385.8</v>
      </c>
      <c r="D189" s="17">
        <f>13259.16+855.43+855.43+855.43</f>
        <v>15825.45</v>
      </c>
      <c r="E189" s="17">
        <v>855.43</v>
      </c>
      <c r="F189" s="17">
        <f t="shared" si="3"/>
        <v>5560.3499999999985</v>
      </c>
      <c r="G189" s="14" t="s">
        <v>9</v>
      </c>
      <c r="K189" s="7"/>
    </row>
    <row r="190" spans="1:11" s="11" customFormat="1">
      <c r="A190" s="16" t="s">
        <v>62</v>
      </c>
      <c r="B190" s="16" t="s">
        <v>63</v>
      </c>
      <c r="C190" s="17">
        <v>38711.07</v>
      </c>
      <c r="D190" s="17">
        <f>22452.38+1548.44+1548.44+1548.44</f>
        <v>27097.699999999997</v>
      </c>
      <c r="E190" s="17">
        <v>1548.44</v>
      </c>
      <c r="F190" s="17">
        <f t="shared" si="3"/>
        <v>11613.370000000003</v>
      </c>
      <c r="G190" s="14" t="s">
        <v>9</v>
      </c>
      <c r="K190" s="7"/>
    </row>
    <row r="191" spans="1:11" s="11" customFormat="1">
      <c r="A191" s="16" t="s">
        <v>68</v>
      </c>
      <c r="B191" s="16" t="s">
        <v>69</v>
      </c>
      <c r="C191" s="17">
        <v>601160.27</v>
      </c>
      <c r="D191" s="17">
        <v>601160.27</v>
      </c>
      <c r="E191" s="17">
        <v>0</v>
      </c>
      <c r="F191" s="17">
        <f t="shared" si="3"/>
        <v>0</v>
      </c>
      <c r="G191" s="14" t="s">
        <v>9</v>
      </c>
      <c r="K191" s="7"/>
    </row>
    <row r="192" spans="1:11" s="11" customFormat="1">
      <c r="A192" s="16" t="s">
        <v>70</v>
      </c>
      <c r="B192" s="16" t="s">
        <v>71</v>
      </c>
      <c r="C192" s="17">
        <v>523429.3</v>
      </c>
      <c r="D192" s="17">
        <v>523429.3</v>
      </c>
      <c r="E192" s="17">
        <v>0</v>
      </c>
      <c r="F192" s="17">
        <f t="shared" si="3"/>
        <v>0</v>
      </c>
      <c r="G192" s="14" t="s">
        <v>9</v>
      </c>
      <c r="K192" s="7"/>
    </row>
    <row r="193" spans="1:11" s="11" customFormat="1">
      <c r="A193" s="16" t="s">
        <v>72</v>
      </c>
      <c r="B193" s="16" t="s">
        <v>73</v>
      </c>
      <c r="C193" s="17">
        <v>1280575.79</v>
      </c>
      <c r="D193" s="17">
        <v>1280575.79</v>
      </c>
      <c r="E193" s="17">
        <v>0</v>
      </c>
      <c r="F193" s="17">
        <f t="shared" si="3"/>
        <v>0</v>
      </c>
      <c r="G193" s="14" t="s">
        <v>9</v>
      </c>
      <c r="K193" s="7"/>
    </row>
    <row r="194" spans="1:11" s="11" customFormat="1">
      <c r="A194" s="16" t="s">
        <v>74</v>
      </c>
      <c r="B194" s="16" t="s">
        <v>75</v>
      </c>
      <c r="C194" s="17">
        <v>6172889.1500000004</v>
      </c>
      <c r="D194" s="17">
        <v>6172889.1500000004</v>
      </c>
      <c r="E194" s="17">
        <v>0</v>
      </c>
      <c r="F194" s="17">
        <f t="shared" si="3"/>
        <v>0</v>
      </c>
      <c r="G194" s="14" t="s">
        <v>9</v>
      </c>
      <c r="K194" s="7"/>
    </row>
    <row r="195" spans="1:11" s="11" customFormat="1">
      <c r="A195" s="16" t="s">
        <v>76</v>
      </c>
      <c r="B195" s="16" t="s">
        <v>77</v>
      </c>
      <c r="C195" s="17">
        <v>1336630.3500000001</v>
      </c>
      <c r="D195" s="17">
        <v>1336630.3500000001</v>
      </c>
      <c r="E195" s="17">
        <v>0</v>
      </c>
      <c r="F195" s="17">
        <f t="shared" si="3"/>
        <v>0</v>
      </c>
      <c r="G195" s="14" t="s">
        <v>9</v>
      </c>
      <c r="K195" s="7"/>
    </row>
    <row r="196" spans="1:11" s="11" customFormat="1">
      <c r="A196" s="16" t="s">
        <v>78</v>
      </c>
      <c r="B196" s="16" t="s">
        <v>79</v>
      </c>
      <c r="C196" s="17">
        <v>677096.25</v>
      </c>
      <c r="D196" s="17">
        <v>677096.25</v>
      </c>
      <c r="E196" s="17">
        <v>0</v>
      </c>
      <c r="F196" s="17">
        <f t="shared" si="3"/>
        <v>0</v>
      </c>
      <c r="G196" s="14" t="s">
        <v>9</v>
      </c>
      <c r="H196" s="6"/>
      <c r="I196" s="6"/>
      <c r="J196" s="6"/>
      <c r="K196" s="7"/>
    </row>
    <row r="197" spans="1:11" s="11" customFormat="1">
      <c r="A197" s="16" t="s">
        <v>80</v>
      </c>
      <c r="B197" s="16" t="s">
        <v>81</v>
      </c>
      <c r="C197" s="17">
        <v>503140.21</v>
      </c>
      <c r="D197" s="17">
        <v>503140.21</v>
      </c>
      <c r="E197" s="17">
        <v>0</v>
      </c>
      <c r="F197" s="17">
        <f t="shared" si="3"/>
        <v>0</v>
      </c>
      <c r="G197" s="14" t="s">
        <v>9</v>
      </c>
      <c r="H197" s="6"/>
      <c r="I197" s="6"/>
      <c r="J197" s="6"/>
      <c r="K197" s="7"/>
    </row>
    <row r="198" spans="1:11" s="6" customFormat="1">
      <c r="A198" s="16" t="s">
        <v>82</v>
      </c>
      <c r="B198" s="16" t="s">
        <v>83</v>
      </c>
      <c r="C198" s="17">
        <v>2009295.05</v>
      </c>
      <c r="D198" s="17">
        <v>2009295.05</v>
      </c>
      <c r="E198" s="17">
        <v>0</v>
      </c>
      <c r="F198" s="17">
        <f t="shared" si="3"/>
        <v>0</v>
      </c>
      <c r="G198" s="14" t="s">
        <v>9</v>
      </c>
      <c r="K198" s="7"/>
    </row>
    <row r="199" spans="1:11" s="6" customFormat="1">
      <c r="A199" s="16" t="s">
        <v>84</v>
      </c>
      <c r="B199" s="16" t="s">
        <v>85</v>
      </c>
      <c r="C199" s="17">
        <v>1062713.07</v>
      </c>
      <c r="D199" s="17">
        <v>1062713.07</v>
      </c>
      <c r="E199" s="17">
        <v>0</v>
      </c>
      <c r="F199" s="17">
        <f t="shared" si="3"/>
        <v>0</v>
      </c>
      <c r="G199" s="14" t="s">
        <v>9</v>
      </c>
      <c r="K199" s="7"/>
    </row>
    <row r="200" spans="1:11" s="6" customFormat="1">
      <c r="A200" s="16" t="s">
        <v>86</v>
      </c>
      <c r="B200" s="16" t="s">
        <v>87</v>
      </c>
      <c r="C200" s="17">
        <v>343699.07</v>
      </c>
      <c r="D200" s="17">
        <v>343699.07</v>
      </c>
      <c r="E200" s="17">
        <v>0</v>
      </c>
      <c r="F200" s="17">
        <f t="shared" si="3"/>
        <v>0</v>
      </c>
      <c r="G200" s="14" t="s">
        <v>9</v>
      </c>
      <c r="K200" s="7"/>
    </row>
    <row r="201" spans="1:11" s="6" customFormat="1">
      <c r="A201" s="16" t="s">
        <v>88</v>
      </c>
      <c r="B201" s="16" t="s">
        <v>89</v>
      </c>
      <c r="C201" s="17">
        <v>229000.84</v>
      </c>
      <c r="D201" s="17">
        <v>229000.84</v>
      </c>
      <c r="E201" s="17">
        <v>0</v>
      </c>
      <c r="F201" s="17">
        <f t="shared" si="3"/>
        <v>0</v>
      </c>
      <c r="G201" s="14" t="s">
        <v>9</v>
      </c>
      <c r="K201" s="7"/>
    </row>
    <row r="202" spans="1:11" s="6" customFormat="1">
      <c r="A202" s="16" t="s">
        <v>90</v>
      </c>
      <c r="B202" s="16" t="s">
        <v>91</v>
      </c>
      <c r="C202" s="17">
        <v>172404.48000000001</v>
      </c>
      <c r="D202" s="17">
        <v>172404.48000000001</v>
      </c>
      <c r="E202" s="17">
        <v>0</v>
      </c>
      <c r="F202" s="17">
        <f t="shared" si="3"/>
        <v>0</v>
      </c>
      <c r="G202" s="14" t="s">
        <v>9</v>
      </c>
      <c r="K202" s="7"/>
    </row>
    <row r="203" spans="1:11" s="6" customFormat="1">
      <c r="A203" s="16" t="s">
        <v>92</v>
      </c>
      <c r="B203" s="16" t="s">
        <v>93</v>
      </c>
      <c r="C203" s="17">
        <v>569310.78</v>
      </c>
      <c r="D203" s="17">
        <v>569310.78</v>
      </c>
      <c r="E203" s="17">
        <v>0</v>
      </c>
      <c r="F203" s="17">
        <f t="shared" si="3"/>
        <v>0</v>
      </c>
      <c r="G203" s="14" t="s">
        <v>9</v>
      </c>
      <c r="K203" s="7"/>
    </row>
    <row r="204" spans="1:11" s="6" customFormat="1">
      <c r="A204" s="16" t="s">
        <v>94</v>
      </c>
      <c r="B204" s="16" t="s">
        <v>95</v>
      </c>
      <c r="C204" s="17">
        <v>368779.24</v>
      </c>
      <c r="D204" s="17">
        <v>368779.24</v>
      </c>
      <c r="E204" s="17">
        <v>0</v>
      </c>
      <c r="F204" s="17">
        <f t="shared" ref="F204:F265" si="6">+C204-D204</f>
        <v>0</v>
      </c>
      <c r="G204" s="14" t="s">
        <v>9</v>
      </c>
      <c r="K204" s="7"/>
    </row>
    <row r="205" spans="1:11" s="6" customFormat="1">
      <c r="A205" s="16" t="s">
        <v>96</v>
      </c>
      <c r="B205" s="16" t="s">
        <v>97</v>
      </c>
      <c r="C205" s="17">
        <v>618248.95999999996</v>
      </c>
      <c r="D205" s="17">
        <v>618248.95999999996</v>
      </c>
      <c r="E205" s="17">
        <v>0</v>
      </c>
      <c r="F205" s="17">
        <f t="shared" si="6"/>
        <v>0</v>
      </c>
      <c r="G205" s="14" t="s">
        <v>9</v>
      </c>
      <c r="K205" s="7"/>
    </row>
    <row r="206" spans="1:11" s="6" customFormat="1">
      <c r="A206" s="16" t="s">
        <v>98</v>
      </c>
      <c r="B206" s="16" t="s">
        <v>99</v>
      </c>
      <c r="C206" s="17">
        <v>727796.65</v>
      </c>
      <c r="D206" s="17">
        <v>727796.65</v>
      </c>
      <c r="E206" s="17">
        <v>0</v>
      </c>
      <c r="F206" s="17">
        <f t="shared" si="6"/>
        <v>0</v>
      </c>
      <c r="G206" s="14" t="s">
        <v>9</v>
      </c>
      <c r="K206" s="7"/>
    </row>
    <row r="207" spans="1:11" s="6" customFormat="1" ht="13.8" customHeight="1">
      <c r="A207" s="16" t="s">
        <v>100</v>
      </c>
      <c r="B207" s="16" t="s">
        <v>101</v>
      </c>
      <c r="C207" s="17">
        <v>699282.7</v>
      </c>
      <c r="D207" s="17">
        <v>699282.7</v>
      </c>
      <c r="E207" s="17">
        <v>0</v>
      </c>
      <c r="F207" s="17">
        <f t="shared" si="6"/>
        <v>0</v>
      </c>
      <c r="G207" s="14" t="s">
        <v>9</v>
      </c>
      <c r="K207" s="7"/>
    </row>
    <row r="208" spans="1:11" s="6" customFormat="1" ht="13.8" customHeight="1">
      <c r="A208" s="16" t="s">
        <v>102</v>
      </c>
      <c r="B208" s="16" t="s">
        <v>103</v>
      </c>
      <c r="C208" s="17">
        <v>2485688.34</v>
      </c>
      <c r="D208" s="17">
        <v>2485688.34</v>
      </c>
      <c r="E208" s="17">
        <v>0</v>
      </c>
      <c r="F208" s="17">
        <f t="shared" si="6"/>
        <v>0</v>
      </c>
      <c r="G208" s="14" t="s">
        <v>9</v>
      </c>
      <c r="K208" s="7"/>
    </row>
    <row r="209" spans="1:11" s="6" customFormat="1" ht="13.8" customHeight="1">
      <c r="A209" s="16" t="s">
        <v>104</v>
      </c>
      <c r="B209" s="16" t="s">
        <v>105</v>
      </c>
      <c r="C209" s="17">
        <v>4484432.1399999997</v>
      </c>
      <c r="D209" s="17">
        <v>4484432.1399999997</v>
      </c>
      <c r="E209" s="17">
        <v>0</v>
      </c>
      <c r="F209" s="17">
        <f t="shared" si="6"/>
        <v>0</v>
      </c>
      <c r="G209" s="14" t="s">
        <v>9</v>
      </c>
      <c r="K209" s="7"/>
    </row>
    <row r="210" spans="1:11" s="6" customFormat="1" ht="13.8" customHeight="1">
      <c r="A210" s="16" t="s">
        <v>106</v>
      </c>
      <c r="B210" s="16" t="s">
        <v>107</v>
      </c>
      <c r="C210" s="17">
        <v>1867986.62</v>
      </c>
      <c r="D210" s="17">
        <v>1867986.62</v>
      </c>
      <c r="E210" s="17">
        <v>0</v>
      </c>
      <c r="F210" s="17">
        <f t="shared" si="6"/>
        <v>0</v>
      </c>
      <c r="G210" s="14" t="s">
        <v>9</v>
      </c>
      <c r="K210" s="7"/>
    </row>
    <row r="211" spans="1:11" s="6" customFormat="1" ht="13.8" customHeight="1">
      <c r="A211" s="16" t="s">
        <v>108</v>
      </c>
      <c r="B211" s="16" t="s">
        <v>109</v>
      </c>
      <c r="C211" s="17">
        <v>692834.73</v>
      </c>
      <c r="D211" s="17">
        <v>692834.73</v>
      </c>
      <c r="E211" s="17">
        <v>0</v>
      </c>
      <c r="F211" s="17">
        <f t="shared" si="6"/>
        <v>0</v>
      </c>
      <c r="G211" s="14" t="s">
        <v>9</v>
      </c>
      <c r="K211" s="7"/>
    </row>
    <row r="212" spans="1:11" s="6" customFormat="1" ht="13.8" customHeight="1">
      <c r="A212" s="16" t="s">
        <v>110</v>
      </c>
      <c r="B212" s="16" t="s">
        <v>111</v>
      </c>
      <c r="C212" s="17">
        <v>891848.28</v>
      </c>
      <c r="D212" s="17">
        <f>873932.52+17915.76</f>
        <v>891848.28</v>
      </c>
      <c r="E212" s="17">
        <v>0</v>
      </c>
      <c r="F212" s="17">
        <f t="shared" si="6"/>
        <v>0</v>
      </c>
      <c r="G212" s="14" t="s">
        <v>9</v>
      </c>
      <c r="K212" s="7"/>
    </row>
    <row r="213" spans="1:11" s="6" customFormat="1" ht="13.8" customHeight="1">
      <c r="A213" s="16" t="s">
        <v>112</v>
      </c>
      <c r="B213" s="16" t="s">
        <v>113</v>
      </c>
      <c r="C213" s="17">
        <v>1217615.96</v>
      </c>
      <c r="D213" s="17">
        <f>1144351.95+48842.67+24421.34</f>
        <v>1217615.96</v>
      </c>
      <c r="E213" s="17">
        <v>0</v>
      </c>
      <c r="F213" s="17">
        <f t="shared" si="6"/>
        <v>0</v>
      </c>
      <c r="G213" s="14" t="s">
        <v>9</v>
      </c>
      <c r="K213" s="7"/>
    </row>
    <row r="214" spans="1:11" s="6" customFormat="1" ht="13.8" customHeight="1">
      <c r="A214" s="16" t="s">
        <v>114</v>
      </c>
      <c r="B214" s="16" t="s">
        <v>115</v>
      </c>
      <c r="C214" s="17">
        <v>1388482.7</v>
      </c>
      <c r="D214" s="17">
        <f>1248903.67+55831.61+55831.61+27915.81</f>
        <v>1388482.7000000002</v>
      </c>
      <c r="E214" s="17">
        <f>27915.81</f>
        <v>27915.81</v>
      </c>
      <c r="F214" s="17">
        <f t="shared" si="6"/>
        <v>0</v>
      </c>
      <c r="G214" s="14" t="s">
        <v>9</v>
      </c>
      <c r="K214" s="7"/>
    </row>
    <row r="215" spans="1:11" s="6" customFormat="1" ht="13.8" customHeight="1">
      <c r="A215" s="16" t="s">
        <v>116</v>
      </c>
      <c r="B215" s="16" t="s">
        <v>117</v>
      </c>
      <c r="C215" s="17">
        <v>1214478.3999999999</v>
      </c>
      <c r="D215" s="17">
        <f>1044051.38+48693.43+48693.43+48693.44</f>
        <v>1190131.68</v>
      </c>
      <c r="E215" s="17">
        <v>48693.440000000002</v>
      </c>
      <c r="F215" s="17">
        <f t="shared" si="6"/>
        <v>24346.719999999972</v>
      </c>
      <c r="G215" s="14" t="s">
        <v>9</v>
      </c>
      <c r="K215" s="7"/>
    </row>
    <row r="216" spans="1:11" s="6" customFormat="1" ht="13.8" customHeight="1">
      <c r="A216" s="16" t="s">
        <v>118</v>
      </c>
      <c r="B216" s="16" t="s">
        <v>119</v>
      </c>
      <c r="C216" s="17">
        <v>1262079.46</v>
      </c>
      <c r="D216" s="17">
        <f>1038819.89+49613.23+49613.24+49613.24</f>
        <v>1187659.6000000001</v>
      </c>
      <c r="E216" s="17">
        <v>49613.24</v>
      </c>
      <c r="F216" s="17">
        <f t="shared" si="6"/>
        <v>74419.85999999987</v>
      </c>
      <c r="G216" s="14" t="s">
        <v>9</v>
      </c>
      <c r="K216" s="7"/>
    </row>
    <row r="217" spans="1:11" s="6" customFormat="1" ht="13.8" customHeight="1">
      <c r="A217" s="16" t="s">
        <v>120</v>
      </c>
      <c r="B217" s="16" t="s">
        <v>121</v>
      </c>
      <c r="C217" s="17">
        <v>1012498.07</v>
      </c>
      <c r="D217" s="17">
        <f>790078.5+40439.92+40439.92+40439.92</f>
        <v>911398.26000000013</v>
      </c>
      <c r="E217" s="17">
        <v>40439.919999999998</v>
      </c>
      <c r="F217" s="17">
        <f t="shared" si="6"/>
        <v>101099.80999999982</v>
      </c>
      <c r="G217" s="14" t="s">
        <v>9</v>
      </c>
      <c r="K217" s="7"/>
    </row>
    <row r="218" spans="1:11" s="6" customFormat="1" ht="13.8" customHeight="1">
      <c r="A218" s="16" t="s">
        <v>10</v>
      </c>
      <c r="B218" s="16" t="s">
        <v>11</v>
      </c>
      <c r="C218" s="17">
        <v>170605.06</v>
      </c>
      <c r="D218" s="17">
        <v>170605.06</v>
      </c>
      <c r="E218" s="17">
        <v>0</v>
      </c>
      <c r="F218" s="17">
        <f t="shared" si="6"/>
        <v>0</v>
      </c>
      <c r="G218" s="14" t="s">
        <v>9</v>
      </c>
      <c r="K218" s="7"/>
    </row>
    <row r="219" spans="1:11" s="6" customFormat="1" ht="13.8" customHeight="1">
      <c r="A219" s="16" t="s">
        <v>24</v>
      </c>
      <c r="B219" s="16" t="s">
        <v>25</v>
      </c>
      <c r="C219" s="17">
        <v>157685.44</v>
      </c>
      <c r="D219" s="17">
        <f>110379.78+6307.42+6307.42+6307.42</f>
        <v>129302.04</v>
      </c>
      <c r="E219" s="17">
        <v>6307.42</v>
      </c>
      <c r="F219" s="17">
        <f t="shared" si="6"/>
        <v>28383.400000000009</v>
      </c>
      <c r="G219" s="14" t="s">
        <v>9</v>
      </c>
      <c r="K219" s="7"/>
    </row>
    <row r="220" spans="1:11" s="6" customFormat="1" ht="13.8" customHeight="1">
      <c r="A220" s="16" t="s">
        <v>26</v>
      </c>
      <c r="B220" s="16" t="s">
        <v>27</v>
      </c>
      <c r="C220" s="17">
        <v>16639.55</v>
      </c>
      <c r="D220" s="17">
        <f>10982.07+665.58+665.58+665.58</f>
        <v>12978.81</v>
      </c>
      <c r="E220" s="17">
        <v>665.58</v>
      </c>
      <c r="F220" s="17">
        <f t="shared" si="6"/>
        <v>3660.74</v>
      </c>
      <c r="G220" s="14" t="s">
        <v>9</v>
      </c>
      <c r="K220" s="7"/>
    </row>
    <row r="221" spans="1:11" s="6" customFormat="1" ht="13.8" customHeight="1">
      <c r="A221" s="16" t="s">
        <v>28</v>
      </c>
      <c r="B221" s="16" t="s">
        <v>29</v>
      </c>
      <c r="C221" s="17">
        <v>26504.67</v>
      </c>
      <c r="D221" s="17">
        <f>15372.67+1060.19+1060.19+1060.19</f>
        <v>18553.239999999998</v>
      </c>
      <c r="E221" s="17">
        <v>1060.19</v>
      </c>
      <c r="F221" s="17">
        <f t="shared" si="6"/>
        <v>7951.43</v>
      </c>
      <c r="G221" s="14" t="s">
        <v>9</v>
      </c>
      <c r="K221" s="7"/>
    </row>
    <row r="222" spans="1:11" s="6" customFormat="1" ht="13.8" customHeight="1">
      <c r="A222" s="16" t="s">
        <v>30</v>
      </c>
      <c r="B222" s="16" t="s">
        <v>31</v>
      </c>
      <c r="C222" s="17">
        <v>14081.37</v>
      </c>
      <c r="D222" s="17">
        <f>7603.87+563.26+563.26+563.26</f>
        <v>9293.65</v>
      </c>
      <c r="E222" s="17">
        <v>563.26</v>
      </c>
      <c r="F222" s="17">
        <f t="shared" si="6"/>
        <v>4787.7200000000012</v>
      </c>
      <c r="G222" s="14" t="s">
        <v>9</v>
      </c>
      <c r="K222" s="7"/>
    </row>
    <row r="223" spans="1:11" s="6" customFormat="1" ht="13.8" customHeight="1">
      <c r="A223" s="16" t="s">
        <v>122</v>
      </c>
      <c r="B223" s="16" t="s">
        <v>123</v>
      </c>
      <c r="C223" s="17">
        <v>17966.25</v>
      </c>
      <c r="D223" s="17">
        <f>12576.37+718.65+718.65+718.65</f>
        <v>14732.32</v>
      </c>
      <c r="E223" s="17">
        <v>718.65</v>
      </c>
      <c r="F223" s="17">
        <f t="shared" si="6"/>
        <v>3233.9300000000003</v>
      </c>
      <c r="G223" s="14" t="s">
        <v>9</v>
      </c>
      <c r="K223" s="7"/>
    </row>
    <row r="224" spans="1:11" s="6" customFormat="1" ht="13.8" customHeight="1">
      <c r="A224" s="16" t="s">
        <v>124</v>
      </c>
      <c r="B224" s="16" t="s">
        <v>125</v>
      </c>
      <c r="C224" s="17">
        <v>58686.25</v>
      </c>
      <c r="D224" s="17">
        <f>38732.92+2347.45+2347.45+2347.45</f>
        <v>45775.26999999999</v>
      </c>
      <c r="E224" s="17">
        <v>2347.4499999999998</v>
      </c>
      <c r="F224" s="17">
        <f t="shared" si="6"/>
        <v>12910.98000000001</v>
      </c>
      <c r="G224" s="14" t="s">
        <v>9</v>
      </c>
      <c r="K224" s="7"/>
    </row>
    <row r="225" spans="1:11" s="6" customFormat="1" ht="13.8" customHeight="1">
      <c r="A225" s="16" t="s">
        <v>126</v>
      </c>
      <c r="B225" s="16" t="s">
        <v>127</v>
      </c>
      <c r="C225" s="17">
        <v>163287.5</v>
      </c>
      <c r="D225" s="17">
        <f>101238.25+6531.5+6531.5+6531.5</f>
        <v>120832.75</v>
      </c>
      <c r="E225" s="17">
        <v>6531.5</v>
      </c>
      <c r="F225" s="17">
        <f t="shared" si="6"/>
        <v>42454.75</v>
      </c>
      <c r="G225" s="14" t="s">
        <v>9</v>
      </c>
      <c r="K225" s="7"/>
    </row>
    <row r="226" spans="1:11" s="6" customFormat="1">
      <c r="A226" s="16" t="s">
        <v>128</v>
      </c>
      <c r="B226" s="16" t="s">
        <v>129</v>
      </c>
      <c r="C226" s="17">
        <v>245822.62</v>
      </c>
      <c r="D226" s="17">
        <f>162242.88+9832.91+9832.91+9832.91</f>
        <v>191741.61000000002</v>
      </c>
      <c r="E226" s="17">
        <v>9832.91</v>
      </c>
      <c r="F226" s="17">
        <f t="shared" si="6"/>
        <v>54081.00999999998</v>
      </c>
      <c r="G226" s="14" t="s">
        <v>9</v>
      </c>
      <c r="H226" s="8"/>
      <c r="I226" s="8"/>
      <c r="J226" s="8"/>
      <c r="K226" s="7"/>
    </row>
    <row r="227" spans="1:11" s="6" customFormat="1">
      <c r="A227" s="16" t="s">
        <v>130</v>
      </c>
      <c r="B227" s="16" t="s">
        <v>131</v>
      </c>
      <c r="C227" s="17">
        <v>23263.59</v>
      </c>
      <c r="D227" s="17">
        <f>14423.37+930.54+930.55+930.55</f>
        <v>17215.009999999998</v>
      </c>
      <c r="E227" s="17">
        <v>930.55</v>
      </c>
      <c r="F227" s="17">
        <f t="shared" si="6"/>
        <v>6048.5800000000017</v>
      </c>
      <c r="G227" s="14" t="s">
        <v>9</v>
      </c>
      <c r="H227" s="8"/>
      <c r="I227" s="8"/>
      <c r="J227" s="8"/>
      <c r="K227" s="7"/>
    </row>
    <row r="228" spans="1:11" s="6" customFormat="1">
      <c r="A228" s="16" t="s">
        <v>32</v>
      </c>
      <c r="B228" s="16" t="s">
        <v>33</v>
      </c>
      <c r="C228" s="17">
        <v>103048.33</v>
      </c>
      <c r="D228" s="17">
        <f>68011.84+4121.94+4121.94+4121.94</f>
        <v>80377.66</v>
      </c>
      <c r="E228" s="17">
        <v>4121.9399999999996</v>
      </c>
      <c r="F228" s="17">
        <f t="shared" si="6"/>
        <v>22670.67</v>
      </c>
      <c r="G228" s="14" t="s">
        <v>9</v>
      </c>
      <c r="H228" s="8"/>
      <c r="I228" s="8"/>
      <c r="J228" s="8"/>
      <c r="K228" s="7"/>
    </row>
    <row r="229" spans="1:11" s="6" customFormat="1">
      <c r="A229" s="16" t="s">
        <v>34</v>
      </c>
      <c r="B229" s="16" t="s">
        <v>35</v>
      </c>
      <c r="C229" s="17">
        <v>2821.05</v>
      </c>
      <c r="D229" s="17">
        <f>1749.02+112.84+112.84+112.84</f>
        <v>2087.54</v>
      </c>
      <c r="E229" s="17">
        <v>112.84</v>
      </c>
      <c r="F229" s="17">
        <f t="shared" si="6"/>
        <v>733.51000000000022</v>
      </c>
      <c r="G229" s="14" t="s">
        <v>9</v>
      </c>
      <c r="H229" s="8"/>
      <c r="I229" s="8"/>
      <c r="J229" s="8"/>
      <c r="K229" s="7"/>
    </row>
    <row r="230" spans="1:11" s="6" customFormat="1">
      <c r="A230" s="16" t="s">
        <v>134</v>
      </c>
      <c r="B230" s="16" t="s">
        <v>135</v>
      </c>
      <c r="C230" s="17">
        <v>7500</v>
      </c>
      <c r="D230" s="17">
        <f>4650+300+300+300</f>
        <v>5550</v>
      </c>
      <c r="E230" s="17">
        <v>300</v>
      </c>
      <c r="F230" s="17">
        <f t="shared" si="6"/>
        <v>1950</v>
      </c>
      <c r="G230" s="14" t="s">
        <v>9</v>
      </c>
      <c r="H230" s="8"/>
      <c r="I230" s="8"/>
      <c r="J230" s="8"/>
      <c r="K230" s="7"/>
    </row>
    <row r="231" spans="1:11" s="6" customFormat="1">
      <c r="A231" s="16" t="s">
        <v>136</v>
      </c>
      <c r="B231" s="16" t="s">
        <v>137</v>
      </c>
      <c r="C231" s="17">
        <v>42644</v>
      </c>
      <c r="D231" s="17">
        <f>24733.52+1705.76+1705.76+1705.76</f>
        <v>29850.799999999996</v>
      </c>
      <c r="E231" s="17">
        <v>1705.76</v>
      </c>
      <c r="F231" s="17">
        <f t="shared" si="6"/>
        <v>12793.200000000004</v>
      </c>
      <c r="G231" s="14" t="s">
        <v>9</v>
      </c>
      <c r="H231" s="8"/>
      <c r="I231" s="8"/>
      <c r="J231" s="8"/>
      <c r="K231" s="7"/>
    </row>
    <row r="232" spans="1:11" s="6" customFormat="1">
      <c r="A232" s="16" t="s">
        <v>138</v>
      </c>
      <c r="B232" s="16" t="s">
        <v>139</v>
      </c>
      <c r="C232" s="17">
        <v>492197.5</v>
      </c>
      <c r="D232" s="17">
        <f>246098.74+19687.9+19687.9+19687.9</f>
        <v>305162.44000000006</v>
      </c>
      <c r="E232" s="17">
        <v>19687.900000000001</v>
      </c>
      <c r="F232" s="17">
        <f t="shared" si="6"/>
        <v>187035.05999999994</v>
      </c>
      <c r="G232" s="14" t="s">
        <v>9</v>
      </c>
      <c r="K232" s="7"/>
    </row>
    <row r="233" spans="1:11">
      <c r="A233" s="16" t="s">
        <v>140</v>
      </c>
      <c r="B233" s="16" t="s">
        <v>141</v>
      </c>
      <c r="C233" s="17">
        <v>1551869.02</v>
      </c>
      <c r="D233" s="17">
        <f>713859.74+62074.76+62074.76+62074.76</f>
        <v>900084.02</v>
      </c>
      <c r="E233" s="17">
        <v>62074.76</v>
      </c>
      <c r="F233" s="17">
        <f t="shared" si="6"/>
        <v>651785</v>
      </c>
      <c r="G233" s="14" t="s">
        <v>9</v>
      </c>
      <c r="H233" s="6"/>
      <c r="I233" s="6"/>
      <c r="J233" s="6"/>
      <c r="K233" s="7"/>
    </row>
    <row r="234" spans="1:11">
      <c r="A234" s="16" t="s">
        <v>142</v>
      </c>
      <c r="B234" s="16" t="s">
        <v>143</v>
      </c>
      <c r="C234" s="17">
        <v>251434.3</v>
      </c>
      <c r="D234" s="17">
        <f>105602.38+10057.37+10057.37+10057.37</f>
        <v>135774.49</v>
      </c>
      <c r="E234" s="17">
        <v>10057.370000000001</v>
      </c>
      <c r="F234" s="17">
        <f t="shared" si="6"/>
        <v>115659.81</v>
      </c>
      <c r="G234" s="14" t="s">
        <v>9</v>
      </c>
      <c r="H234" s="6"/>
      <c r="I234" s="6"/>
      <c r="J234" s="6"/>
      <c r="K234" s="7"/>
    </row>
    <row r="235" spans="1:11">
      <c r="A235" s="16" t="s">
        <v>144</v>
      </c>
      <c r="B235" s="16" t="s">
        <v>145</v>
      </c>
      <c r="C235" s="17">
        <v>102760.91</v>
      </c>
      <c r="D235" s="17">
        <f>51380.41+4110.44+4110.44+4110.44</f>
        <v>63711.73000000001</v>
      </c>
      <c r="E235" s="17">
        <v>4110.4399999999996</v>
      </c>
      <c r="F235" s="17">
        <f t="shared" si="6"/>
        <v>39049.179999999993</v>
      </c>
      <c r="G235" s="14" t="s">
        <v>9</v>
      </c>
      <c r="H235" s="6"/>
      <c r="I235" s="6"/>
      <c r="J235" s="6"/>
      <c r="K235" s="7"/>
    </row>
    <row r="236" spans="1:11">
      <c r="A236" s="16" t="s">
        <v>146</v>
      </c>
      <c r="B236" s="16" t="s">
        <v>147</v>
      </c>
      <c r="C236" s="17">
        <v>193615.02</v>
      </c>
      <c r="D236" s="17">
        <f>89062.9+7744.6+7744.6+7744.6</f>
        <v>112296.70000000001</v>
      </c>
      <c r="E236" s="17">
        <v>7744.6</v>
      </c>
      <c r="F236" s="17">
        <f t="shared" si="6"/>
        <v>81318.319999999978</v>
      </c>
      <c r="G236" s="14" t="s">
        <v>9</v>
      </c>
      <c r="H236" s="6"/>
      <c r="I236" s="6"/>
      <c r="J236" s="6"/>
      <c r="K236" s="7"/>
    </row>
    <row r="237" spans="1:11">
      <c r="A237" s="16" t="s">
        <v>148</v>
      </c>
      <c r="B237" s="16" t="s">
        <v>149</v>
      </c>
      <c r="C237" s="17">
        <v>1360500</v>
      </c>
      <c r="D237" s="17">
        <f>571410+54420+54420+54420</f>
        <v>734670</v>
      </c>
      <c r="E237" s="17">
        <v>54420</v>
      </c>
      <c r="F237" s="17">
        <f t="shared" si="6"/>
        <v>625830</v>
      </c>
      <c r="G237" s="14" t="s">
        <v>9</v>
      </c>
      <c r="H237" s="6"/>
      <c r="I237" s="6"/>
      <c r="J237" s="6"/>
      <c r="K237" s="7"/>
    </row>
    <row r="238" spans="1:11">
      <c r="A238" s="16" t="s">
        <v>150</v>
      </c>
      <c r="B238" s="16" t="s">
        <v>151</v>
      </c>
      <c r="C238" s="17">
        <v>2590317.37</v>
      </c>
      <c r="D238" s="17">
        <f>984320.55+103612.69+103612.69+103612.69</f>
        <v>1295158.6199999999</v>
      </c>
      <c r="E238" s="17">
        <v>103612.69</v>
      </c>
      <c r="F238" s="17">
        <f t="shared" si="6"/>
        <v>1295158.7500000002</v>
      </c>
      <c r="G238" s="14" t="s">
        <v>9</v>
      </c>
      <c r="H238" s="6"/>
      <c r="I238" s="6"/>
      <c r="J238" s="6"/>
      <c r="K238" s="7"/>
    </row>
    <row r="239" spans="1:11">
      <c r="A239" s="16" t="s">
        <v>152</v>
      </c>
      <c r="B239" s="16" t="s">
        <v>153</v>
      </c>
      <c r="C239" s="17">
        <v>97469.61</v>
      </c>
      <c r="D239" s="17">
        <f>33139.63+3898.78+3898.78+3898.78</f>
        <v>44835.969999999994</v>
      </c>
      <c r="E239" s="17">
        <v>3898.78</v>
      </c>
      <c r="F239" s="17">
        <f t="shared" si="6"/>
        <v>52633.640000000007</v>
      </c>
      <c r="G239" s="14" t="s">
        <v>9</v>
      </c>
      <c r="H239" s="6"/>
      <c r="I239" s="6"/>
      <c r="J239" s="6"/>
      <c r="K239" s="7"/>
    </row>
    <row r="240" spans="1:11">
      <c r="A240" s="16" t="s">
        <v>154</v>
      </c>
      <c r="B240" s="16" t="s">
        <v>155</v>
      </c>
      <c r="C240" s="17">
        <v>11458.94</v>
      </c>
      <c r="D240" s="17">
        <f>3437.64+458.36+458.36+458.36</f>
        <v>4812.7199999999993</v>
      </c>
      <c r="E240" s="17">
        <v>458.36</v>
      </c>
      <c r="F240" s="17">
        <f t="shared" si="6"/>
        <v>6646.2200000000012</v>
      </c>
      <c r="G240" s="14" t="s">
        <v>9</v>
      </c>
      <c r="H240" s="6"/>
      <c r="I240" s="6"/>
      <c r="J240" s="6"/>
      <c r="K240" s="7"/>
    </row>
    <row r="241" spans="1:11">
      <c r="A241" s="16" t="s">
        <v>156</v>
      </c>
      <c r="B241" s="16" t="s">
        <v>157</v>
      </c>
      <c r="C241" s="17">
        <v>100323.61</v>
      </c>
      <c r="D241" s="17">
        <f>46148.81+4012.94+4012.94+4012.95</f>
        <v>58187.64</v>
      </c>
      <c r="E241" s="17">
        <v>4012.95</v>
      </c>
      <c r="F241" s="17">
        <f t="shared" si="6"/>
        <v>42135.97</v>
      </c>
      <c r="G241" s="14" t="s">
        <v>9</v>
      </c>
      <c r="H241" s="6"/>
      <c r="I241" s="6"/>
      <c r="J241" s="6"/>
      <c r="K241" s="7"/>
    </row>
    <row r="242" spans="1:11">
      <c r="A242" s="16" t="s">
        <v>18</v>
      </c>
      <c r="B242" s="16" t="s">
        <v>19</v>
      </c>
      <c r="C242" s="17">
        <v>35895</v>
      </c>
      <c r="D242" s="17">
        <v>35895</v>
      </c>
      <c r="E242" s="17">
        <v>0</v>
      </c>
      <c r="F242" s="17">
        <f t="shared" si="6"/>
        <v>0</v>
      </c>
      <c r="G242" s="14" t="s">
        <v>9</v>
      </c>
      <c r="H242" s="6"/>
      <c r="I242" s="6"/>
      <c r="J242" s="6"/>
      <c r="K242" s="7"/>
    </row>
    <row r="243" spans="1:11">
      <c r="A243" s="16" t="s">
        <v>20</v>
      </c>
      <c r="B243" s="16" t="s">
        <v>21</v>
      </c>
      <c r="C243" s="17">
        <v>82732.34</v>
      </c>
      <c r="D243" s="17">
        <v>82732.34</v>
      </c>
      <c r="E243" s="17">
        <v>0</v>
      </c>
      <c r="F243" s="17">
        <f t="shared" si="6"/>
        <v>0</v>
      </c>
      <c r="G243" s="14" t="s">
        <v>9</v>
      </c>
      <c r="K243" s="7"/>
    </row>
    <row r="244" spans="1:11">
      <c r="A244" s="16" t="s">
        <v>36</v>
      </c>
      <c r="B244" s="16" t="s">
        <v>37</v>
      </c>
      <c r="C244" s="17">
        <v>3164560.58</v>
      </c>
      <c r="D244" s="17">
        <f>822785.73+126582.42+126582.42+126582.42</f>
        <v>1202532.99</v>
      </c>
      <c r="E244" s="17">
        <v>126582.42</v>
      </c>
      <c r="F244" s="17">
        <f t="shared" si="6"/>
        <v>1962027.59</v>
      </c>
      <c r="G244" s="14" t="s">
        <v>9</v>
      </c>
      <c r="K244" s="7"/>
    </row>
    <row r="245" spans="1:11">
      <c r="A245" s="16" t="s">
        <v>38</v>
      </c>
      <c r="B245" s="16" t="s">
        <v>39</v>
      </c>
      <c r="C245" s="17">
        <v>11772162.369999999</v>
      </c>
      <c r="D245" s="17">
        <f>3060762.18+470886.49+470886.49+470886.49</f>
        <v>4473421.6500000004</v>
      </c>
      <c r="E245" s="17">
        <v>470886.49</v>
      </c>
      <c r="F245" s="17">
        <f t="shared" si="6"/>
        <v>7298740.7199999988</v>
      </c>
      <c r="G245" s="14" t="s">
        <v>9</v>
      </c>
      <c r="K245" s="7"/>
    </row>
    <row r="246" spans="1:11">
      <c r="A246" s="16" t="s">
        <v>40</v>
      </c>
      <c r="B246" s="16" t="s">
        <v>41</v>
      </c>
      <c r="C246" s="17">
        <v>436927.25</v>
      </c>
      <c r="D246" s="17">
        <f>113601.08+17477.09+17477.09+17477.09</f>
        <v>166032.35</v>
      </c>
      <c r="E246" s="17">
        <v>17477.09</v>
      </c>
      <c r="F246" s="17">
        <f t="shared" si="6"/>
        <v>270894.90000000002</v>
      </c>
      <c r="G246" s="14" t="s">
        <v>9</v>
      </c>
      <c r="K246" s="7"/>
    </row>
    <row r="247" spans="1:11">
      <c r="A247" s="16" t="s">
        <v>42</v>
      </c>
      <c r="B247" s="16" t="s">
        <v>43</v>
      </c>
      <c r="C247" s="17">
        <v>109278.53</v>
      </c>
      <c r="D247" s="17">
        <f>25042.98+4553.27+4553.27+4553.27</f>
        <v>38702.790000000008</v>
      </c>
      <c r="E247" s="17">
        <v>4553.2700000000004</v>
      </c>
      <c r="F247" s="17">
        <f t="shared" si="6"/>
        <v>70575.739999999991</v>
      </c>
      <c r="G247" s="14" t="s">
        <v>9</v>
      </c>
      <c r="K247" s="7"/>
    </row>
    <row r="248" spans="1:11">
      <c r="A248" s="14" t="s">
        <v>186</v>
      </c>
      <c r="B248" s="14" t="s">
        <v>187</v>
      </c>
      <c r="C248" s="15">
        <v>979812.88</v>
      </c>
      <c r="D248" s="15">
        <f>293943.82+39192.51+39192.51+39192.51</f>
        <v>411521.35000000003</v>
      </c>
      <c r="E248" s="15">
        <v>39192.51</v>
      </c>
      <c r="F248" s="15">
        <f t="shared" si="6"/>
        <v>568291.53</v>
      </c>
      <c r="G248" s="14" t="s">
        <v>9</v>
      </c>
      <c r="K248" s="7"/>
    </row>
    <row r="249" spans="1:11">
      <c r="A249" s="14" t="s">
        <v>188</v>
      </c>
      <c r="B249" s="14" t="s">
        <v>189</v>
      </c>
      <c r="C249" s="15">
        <v>194949.6</v>
      </c>
      <c r="D249" s="15">
        <f>58484.85+7797.98+7797.98+7797.98</f>
        <v>81878.789999999994</v>
      </c>
      <c r="E249" s="15">
        <v>7797.98</v>
      </c>
      <c r="F249" s="15">
        <f t="shared" si="6"/>
        <v>113070.81000000001</v>
      </c>
      <c r="G249" s="14" t="s">
        <v>9</v>
      </c>
      <c r="K249" s="7"/>
    </row>
    <row r="250" spans="1:11">
      <c r="A250" s="16" t="s">
        <v>158</v>
      </c>
      <c r="B250" s="16" t="s">
        <v>159</v>
      </c>
      <c r="C250" s="17">
        <v>383118.09</v>
      </c>
      <c r="D250" s="17">
        <f>84285.96+15324.72+15324.72+15324.72</f>
        <v>130260.12000000001</v>
      </c>
      <c r="E250" s="17">
        <v>15324.72</v>
      </c>
      <c r="F250" s="17">
        <f t="shared" si="6"/>
        <v>252857.97000000003</v>
      </c>
      <c r="G250" s="14" t="s">
        <v>9</v>
      </c>
      <c r="H250" s="11"/>
      <c r="I250" s="11"/>
      <c r="J250" s="11"/>
      <c r="K250" s="7"/>
    </row>
    <row r="251" spans="1:11">
      <c r="A251" s="16" t="s">
        <v>160</v>
      </c>
      <c r="B251" s="16" t="s">
        <v>161</v>
      </c>
      <c r="C251" s="17">
        <v>51331.95</v>
      </c>
      <c r="D251" s="17">
        <f>11292.99+2053.28+2053.28+2053.28</f>
        <v>17452.830000000002</v>
      </c>
      <c r="E251" s="17">
        <v>2053.2800000000002</v>
      </c>
      <c r="F251" s="17">
        <f t="shared" si="6"/>
        <v>33879.119999999995</v>
      </c>
      <c r="G251" s="14" t="s">
        <v>9</v>
      </c>
      <c r="H251" s="11"/>
      <c r="I251" s="11"/>
      <c r="J251" s="11"/>
      <c r="K251" s="7"/>
    </row>
    <row r="252" spans="1:11">
      <c r="A252" s="16" t="s">
        <v>12</v>
      </c>
      <c r="B252" s="16" t="s">
        <v>13</v>
      </c>
      <c r="C252" s="17">
        <v>9480.0499999999993</v>
      </c>
      <c r="D252" s="17">
        <v>9480.0499999999993</v>
      </c>
      <c r="E252" s="17">
        <v>0</v>
      </c>
      <c r="F252" s="17">
        <f t="shared" si="6"/>
        <v>0</v>
      </c>
      <c r="G252" s="14" t="s">
        <v>9</v>
      </c>
      <c r="H252" s="11"/>
      <c r="I252" s="11"/>
      <c r="J252" s="11"/>
      <c r="K252" s="7"/>
    </row>
    <row r="253" spans="1:11">
      <c r="A253" s="16" t="s">
        <v>14</v>
      </c>
      <c r="B253" s="16" t="s">
        <v>15</v>
      </c>
      <c r="C253" s="17">
        <v>10936.22</v>
      </c>
      <c r="D253" s="17">
        <v>10936.22</v>
      </c>
      <c r="E253" s="17">
        <v>0</v>
      </c>
      <c r="F253" s="17">
        <f t="shared" si="6"/>
        <v>0</v>
      </c>
      <c r="G253" s="14" t="s">
        <v>9</v>
      </c>
      <c r="H253" s="11"/>
      <c r="I253" s="11"/>
      <c r="J253" s="11"/>
      <c r="K253" s="7"/>
    </row>
    <row r="254" spans="1:11">
      <c r="A254" s="16" t="s">
        <v>162</v>
      </c>
      <c r="B254" s="16" t="s">
        <v>163</v>
      </c>
      <c r="C254" s="17">
        <v>132301.48000000001</v>
      </c>
      <c r="D254" s="17">
        <f>13230.14+5292.06+5292.06+5292.06</f>
        <v>29106.320000000003</v>
      </c>
      <c r="E254" s="17">
        <v>5292.06</v>
      </c>
      <c r="F254" s="17">
        <f t="shared" si="6"/>
        <v>103195.16</v>
      </c>
      <c r="G254" s="14" t="s">
        <v>9</v>
      </c>
      <c r="H254" s="11"/>
      <c r="I254" s="11"/>
      <c r="J254" s="11"/>
      <c r="K254" s="7"/>
    </row>
    <row r="255" spans="1:11">
      <c r="A255" s="16" t="s">
        <v>164</v>
      </c>
      <c r="B255" s="16" t="s">
        <v>165</v>
      </c>
      <c r="C255" s="17">
        <v>12773</v>
      </c>
      <c r="D255" s="17">
        <f>1277.3+510.92+510.92+510.92</f>
        <v>2810.06</v>
      </c>
      <c r="E255" s="17">
        <v>510.92</v>
      </c>
      <c r="F255" s="17">
        <f t="shared" si="6"/>
        <v>9962.94</v>
      </c>
      <c r="G255" s="14" t="s">
        <v>9</v>
      </c>
      <c r="H255" s="11"/>
      <c r="I255" s="11"/>
      <c r="J255" s="11"/>
      <c r="K255" s="7"/>
    </row>
    <row r="256" spans="1:11">
      <c r="A256" s="16" t="s">
        <v>166</v>
      </c>
      <c r="B256" s="16" t="s">
        <v>167</v>
      </c>
      <c r="C256" s="17">
        <v>243980.88</v>
      </c>
      <c r="D256" s="17">
        <f>24398.07+9759.23+9759.23+9759.23</f>
        <v>53675.759999999995</v>
      </c>
      <c r="E256" s="17">
        <v>9759.23</v>
      </c>
      <c r="F256" s="17">
        <f t="shared" si="6"/>
        <v>190305.12</v>
      </c>
      <c r="G256" s="14" t="s">
        <v>9</v>
      </c>
      <c r="H256" s="11"/>
      <c r="I256" s="11"/>
      <c r="J256" s="11"/>
      <c r="K256" s="7"/>
    </row>
    <row r="257" spans="1:11">
      <c r="A257" s="16" t="s">
        <v>168</v>
      </c>
      <c r="B257" s="16" t="s">
        <v>169</v>
      </c>
      <c r="C257" s="17">
        <v>54548.32</v>
      </c>
      <c r="D257" s="17">
        <f>5454.82+2181.93+2181.93+2181.93</f>
        <v>12000.61</v>
      </c>
      <c r="E257" s="17">
        <v>2181.9299999999998</v>
      </c>
      <c r="F257" s="17">
        <f t="shared" si="6"/>
        <v>42547.71</v>
      </c>
      <c r="G257" s="14" t="s">
        <v>9</v>
      </c>
      <c r="H257" s="11"/>
      <c r="I257" s="11"/>
      <c r="J257" s="11"/>
      <c r="K257" s="7"/>
    </row>
    <row r="258" spans="1:11" s="6" customFormat="1">
      <c r="A258" s="16" t="s">
        <v>172</v>
      </c>
      <c r="B258" s="16" t="s">
        <v>173</v>
      </c>
      <c r="C258" s="17">
        <v>625884.92000000004</v>
      </c>
      <c r="D258" s="17">
        <f>87623.86+25035.39+25035.39+25035.39</f>
        <v>162730.03000000003</v>
      </c>
      <c r="E258" s="17">
        <v>25035.39</v>
      </c>
      <c r="F258" s="17">
        <f t="shared" si="6"/>
        <v>463154.89</v>
      </c>
      <c r="G258" s="14" t="s">
        <v>9</v>
      </c>
      <c r="H258" s="11"/>
      <c r="I258" s="11"/>
      <c r="J258" s="11"/>
      <c r="K258" s="7"/>
    </row>
    <row r="259" spans="1:11" s="6" customFormat="1">
      <c r="A259" s="16" t="s">
        <v>174</v>
      </c>
      <c r="B259" s="16" t="s">
        <v>175</v>
      </c>
      <c r="C259" s="17">
        <v>169766.92</v>
      </c>
      <c r="D259" s="17">
        <f>30558.01+6790.67+6790.67+6790.68</f>
        <v>50930.03</v>
      </c>
      <c r="E259" s="17">
        <v>6790.67</v>
      </c>
      <c r="F259" s="17">
        <f t="shared" si="6"/>
        <v>118836.89000000001</v>
      </c>
      <c r="G259" s="14" t="s">
        <v>9</v>
      </c>
      <c r="H259" s="11"/>
      <c r="I259" s="11"/>
      <c r="J259" s="11"/>
      <c r="K259" s="7"/>
    </row>
    <row r="260" spans="1:11" s="6" customFormat="1">
      <c r="A260" s="16" t="s">
        <v>176</v>
      </c>
      <c r="B260" s="16" t="s">
        <v>177</v>
      </c>
      <c r="C260" s="17">
        <v>250432.22</v>
      </c>
      <c r="D260" s="17">
        <f>87651.27+25043.22+25043.22+25043.22</f>
        <v>162780.93000000002</v>
      </c>
      <c r="E260" s="17">
        <v>25043.22</v>
      </c>
      <c r="F260" s="17">
        <f t="shared" si="6"/>
        <v>87651.289999999979</v>
      </c>
      <c r="G260" s="14" t="s">
        <v>9</v>
      </c>
      <c r="H260" s="11"/>
      <c r="I260" s="11"/>
      <c r="J260" s="11"/>
      <c r="K260" s="7"/>
    </row>
    <row r="261" spans="1:11" s="6" customFormat="1">
      <c r="A261" s="16" t="s">
        <v>22</v>
      </c>
      <c r="B261" s="16" t="s">
        <v>23</v>
      </c>
      <c r="C261" s="17">
        <v>29082.35</v>
      </c>
      <c r="D261" s="17">
        <f>14541.17+5816.47+5816.47+2908.24</f>
        <v>29082.35</v>
      </c>
      <c r="E261" s="17">
        <f>2908.24</f>
        <v>2908.24</v>
      </c>
      <c r="F261" s="17">
        <f t="shared" si="6"/>
        <v>0</v>
      </c>
      <c r="G261" s="14" t="s">
        <v>9</v>
      </c>
      <c r="H261" s="11"/>
      <c r="I261" s="11"/>
      <c r="J261" s="11"/>
      <c r="K261" s="7"/>
    </row>
    <row r="262" spans="1:11" s="6" customFormat="1">
      <c r="A262" s="16" t="s">
        <v>178</v>
      </c>
      <c r="B262" s="16" t="s">
        <v>179</v>
      </c>
      <c r="C262" s="17">
        <v>23894.51</v>
      </c>
      <c r="D262" s="17">
        <f>2389.45+955.78+955.78+955.78</f>
        <v>5256.7899999999991</v>
      </c>
      <c r="E262" s="17">
        <v>955.78</v>
      </c>
      <c r="F262" s="17">
        <f t="shared" si="6"/>
        <v>18637.72</v>
      </c>
      <c r="G262" s="14" t="s">
        <v>9</v>
      </c>
      <c r="H262" s="11"/>
      <c r="I262" s="11"/>
      <c r="J262" s="11"/>
      <c r="K262" s="7"/>
    </row>
    <row r="263" spans="1:11" s="6" customFormat="1">
      <c r="A263" s="16" t="s">
        <v>180</v>
      </c>
      <c r="B263" s="16" t="s">
        <v>181</v>
      </c>
      <c r="C263" s="17">
        <v>1768967.55</v>
      </c>
      <c r="D263" s="17">
        <f>176896.75+70758.7+70758.7+70758.7</f>
        <v>389172.85000000003</v>
      </c>
      <c r="E263" s="17">
        <v>70758.7</v>
      </c>
      <c r="F263" s="17">
        <f t="shared" si="6"/>
        <v>1379794.7</v>
      </c>
      <c r="G263" s="14" t="s">
        <v>9</v>
      </c>
      <c r="H263" s="11"/>
      <c r="I263" s="11"/>
      <c r="J263" s="11"/>
      <c r="K263" s="7"/>
    </row>
    <row r="264" spans="1:11" s="6" customFormat="1">
      <c r="A264" s="14" t="s">
        <v>192</v>
      </c>
      <c r="B264" s="14" t="s">
        <v>179</v>
      </c>
      <c r="C264" s="15">
        <v>1848221.33</v>
      </c>
      <c r="D264" s="15">
        <f>36964.42+73928.85+73928.85</f>
        <v>184822.12</v>
      </c>
      <c r="E264" s="15">
        <f>73928.85</f>
        <v>73928.850000000006</v>
      </c>
      <c r="F264" s="15">
        <f t="shared" si="6"/>
        <v>1663399.21</v>
      </c>
      <c r="G264" s="14" t="s">
        <v>9</v>
      </c>
      <c r="H264" s="11"/>
      <c r="I264" s="11"/>
      <c r="J264" s="11"/>
      <c r="K264" s="7"/>
    </row>
    <row r="265" spans="1:11" s="6" customFormat="1">
      <c r="A265" s="16" t="s">
        <v>182</v>
      </c>
      <c r="B265" s="16" t="s">
        <v>183</v>
      </c>
      <c r="C265" s="17">
        <v>3066933.12</v>
      </c>
      <c r="D265" s="17">
        <f>61338.66+122677.32+122677.32+122677.32</f>
        <v>429370.62000000005</v>
      </c>
      <c r="E265" s="17">
        <v>122677.32</v>
      </c>
      <c r="F265" s="17">
        <f t="shared" si="6"/>
        <v>2637562.5</v>
      </c>
      <c r="G265" s="14" t="s">
        <v>9</v>
      </c>
      <c r="K265" s="7"/>
    </row>
    <row r="266" spans="1:11" s="6" customFormat="1">
      <c r="A266" s="14" t="s">
        <v>193</v>
      </c>
      <c r="B266" s="14" t="s">
        <v>194</v>
      </c>
      <c r="C266" s="15">
        <v>790525.25</v>
      </c>
      <c r="D266" s="15">
        <f>15810.5+31621.01+31621.01</f>
        <v>79052.51999999999</v>
      </c>
      <c r="E266" s="15">
        <f>31621.01</f>
        <v>31621.01</v>
      </c>
      <c r="F266" s="15">
        <f t="shared" ref="F266:F319" si="7">+C266-D266</f>
        <v>711472.73</v>
      </c>
      <c r="G266" s="14" t="s">
        <v>9</v>
      </c>
      <c r="K266" s="7"/>
    </row>
    <row r="267" spans="1:11" s="6" customFormat="1">
      <c r="A267" s="14" t="s">
        <v>190</v>
      </c>
      <c r="B267" s="14" t="s">
        <v>191</v>
      </c>
      <c r="C267" s="15">
        <v>16846</v>
      </c>
      <c r="D267" s="15">
        <f>842.29+1684.6+1684.6</f>
        <v>4211.49</v>
      </c>
      <c r="E267" s="15">
        <f>1684.6</f>
        <v>1684.6</v>
      </c>
      <c r="F267" s="15">
        <f t="shared" si="7"/>
        <v>12634.51</v>
      </c>
      <c r="G267" s="14" t="s">
        <v>9</v>
      </c>
      <c r="K267" s="7"/>
    </row>
    <row r="268" spans="1:11" s="6" customFormat="1">
      <c r="A268" s="14" t="s">
        <v>832</v>
      </c>
      <c r="B268" s="18" t="s">
        <v>825</v>
      </c>
      <c r="C268" s="19">
        <v>11716.5</v>
      </c>
      <c r="D268" s="15">
        <f>195.27</f>
        <v>195.27</v>
      </c>
      <c r="E268" s="15">
        <f>195.27</f>
        <v>195.27</v>
      </c>
      <c r="F268" s="15">
        <f t="shared" si="7"/>
        <v>11521.23</v>
      </c>
      <c r="G268" s="14" t="s">
        <v>9</v>
      </c>
      <c r="H268" s="6" t="s">
        <v>848</v>
      </c>
      <c r="K268" s="7"/>
    </row>
    <row r="269" spans="1:11" s="6" customFormat="1">
      <c r="A269" s="20" t="s">
        <v>220</v>
      </c>
      <c r="B269" s="20" t="s">
        <v>221</v>
      </c>
      <c r="C269" s="21">
        <v>15366.64</v>
      </c>
      <c r="D269" s="21">
        <v>15366.64</v>
      </c>
      <c r="E269" s="21">
        <v>0</v>
      </c>
      <c r="F269" s="21">
        <f t="shared" si="7"/>
        <v>0</v>
      </c>
      <c r="G269" s="20" t="s">
        <v>201</v>
      </c>
      <c r="H269" s="8"/>
      <c r="I269" s="8"/>
      <c r="J269" s="8"/>
      <c r="K269" s="7"/>
    </row>
    <row r="270" spans="1:11" s="6" customFormat="1">
      <c r="A270" s="20" t="s">
        <v>224</v>
      </c>
      <c r="B270" s="20" t="s">
        <v>225</v>
      </c>
      <c r="C270" s="21">
        <v>12041.7</v>
      </c>
      <c r="D270" s="21">
        <v>12041.7</v>
      </c>
      <c r="E270" s="21">
        <v>0</v>
      </c>
      <c r="F270" s="21">
        <f t="shared" si="7"/>
        <v>0</v>
      </c>
      <c r="G270" s="20" t="s">
        <v>201</v>
      </c>
      <c r="H270" s="8"/>
      <c r="I270" s="8"/>
      <c r="J270" s="8"/>
      <c r="K270" s="7"/>
    </row>
    <row r="271" spans="1:11" s="6" customFormat="1">
      <c r="A271" s="20" t="s">
        <v>226</v>
      </c>
      <c r="B271" s="20" t="s">
        <v>227</v>
      </c>
      <c r="C271" s="21">
        <v>8273</v>
      </c>
      <c r="D271" s="21">
        <v>8273</v>
      </c>
      <c r="E271" s="21">
        <v>0</v>
      </c>
      <c r="F271" s="21">
        <f t="shared" si="7"/>
        <v>0</v>
      </c>
      <c r="G271" s="20" t="s">
        <v>201</v>
      </c>
      <c r="H271" s="8"/>
      <c r="I271" s="8"/>
      <c r="J271" s="8"/>
      <c r="K271" s="7"/>
    </row>
    <row r="272" spans="1:11" s="6" customFormat="1">
      <c r="A272" s="20" t="s">
        <v>228</v>
      </c>
      <c r="B272" s="20" t="s">
        <v>229</v>
      </c>
      <c r="C272" s="21">
        <v>6581</v>
      </c>
      <c r="D272" s="21">
        <v>6581</v>
      </c>
      <c r="E272" s="21">
        <v>0</v>
      </c>
      <c r="F272" s="21">
        <f t="shared" si="7"/>
        <v>0</v>
      </c>
      <c r="G272" s="20" t="s">
        <v>201</v>
      </c>
      <c r="H272" s="11"/>
      <c r="I272" s="11"/>
      <c r="J272" s="11"/>
      <c r="K272" s="7"/>
    </row>
    <row r="273" spans="1:11" s="6" customFormat="1">
      <c r="A273" s="20" t="s">
        <v>230</v>
      </c>
      <c r="B273" s="20" t="s">
        <v>231</v>
      </c>
      <c r="C273" s="21">
        <v>31085.25</v>
      </c>
      <c r="D273" s="21">
        <v>31085.25</v>
      </c>
      <c r="E273" s="21">
        <v>0</v>
      </c>
      <c r="F273" s="21">
        <f t="shared" si="7"/>
        <v>0</v>
      </c>
      <c r="G273" s="20" t="s">
        <v>201</v>
      </c>
      <c r="H273" s="11"/>
      <c r="I273" s="11"/>
      <c r="J273" s="11"/>
      <c r="K273" s="7"/>
    </row>
    <row r="274" spans="1:11" s="6" customFormat="1">
      <c r="A274" s="20" t="s">
        <v>232</v>
      </c>
      <c r="B274" s="20" t="s">
        <v>233</v>
      </c>
      <c r="C274" s="21">
        <v>27568.59</v>
      </c>
      <c r="D274" s="21">
        <v>27568.59</v>
      </c>
      <c r="E274" s="21">
        <v>0</v>
      </c>
      <c r="F274" s="21">
        <f t="shared" si="7"/>
        <v>0</v>
      </c>
      <c r="G274" s="20" t="s">
        <v>201</v>
      </c>
      <c r="H274" s="11"/>
      <c r="I274" s="11"/>
      <c r="J274" s="11"/>
      <c r="K274" s="7"/>
    </row>
    <row r="275" spans="1:11" s="6" customFormat="1">
      <c r="A275" s="20" t="s">
        <v>236</v>
      </c>
      <c r="B275" s="20" t="s">
        <v>237</v>
      </c>
      <c r="C275" s="21">
        <v>5061.6000000000004</v>
      </c>
      <c r="D275" s="21">
        <v>5061.6000000000004</v>
      </c>
      <c r="E275" s="21">
        <v>0</v>
      </c>
      <c r="F275" s="21">
        <f t="shared" si="7"/>
        <v>0</v>
      </c>
      <c r="G275" s="20" t="s">
        <v>201</v>
      </c>
      <c r="H275" s="11"/>
      <c r="I275" s="11"/>
      <c r="J275" s="11"/>
      <c r="K275" s="7"/>
    </row>
    <row r="276" spans="1:11" s="6" customFormat="1" ht="13.8" customHeight="1">
      <c r="A276" s="20" t="s">
        <v>199</v>
      </c>
      <c r="B276" s="20" t="s">
        <v>200</v>
      </c>
      <c r="C276" s="21">
        <v>42571.34</v>
      </c>
      <c r="D276" s="21">
        <f>27273.97+1390.67+1390.67+1390.67</f>
        <v>31445.979999999996</v>
      </c>
      <c r="E276" s="21">
        <v>1390.67</v>
      </c>
      <c r="F276" s="21">
        <f t="shared" si="7"/>
        <v>11125.36</v>
      </c>
      <c r="G276" s="20" t="s">
        <v>201</v>
      </c>
      <c r="H276" s="11"/>
      <c r="I276" s="11"/>
      <c r="J276" s="11"/>
      <c r="K276" s="7"/>
    </row>
    <row r="277" spans="1:11" s="6" customFormat="1" ht="13.8" customHeight="1">
      <c r="A277" s="20" t="s">
        <v>202</v>
      </c>
      <c r="B277" s="20" t="s">
        <v>203</v>
      </c>
      <c r="C277" s="21">
        <v>59930.33</v>
      </c>
      <c r="D277" s="21">
        <f>36957+1997.68+1997.68+1997.68</f>
        <v>42950.04</v>
      </c>
      <c r="E277" s="21">
        <v>1997.68</v>
      </c>
      <c r="F277" s="21">
        <f t="shared" si="7"/>
        <v>16980.29</v>
      </c>
      <c r="G277" s="20" t="s">
        <v>201</v>
      </c>
      <c r="H277" s="11"/>
      <c r="I277" s="11"/>
      <c r="J277" s="11"/>
      <c r="K277" s="7"/>
    </row>
    <row r="278" spans="1:11" s="6" customFormat="1" ht="13.8" customHeight="1">
      <c r="A278" s="20" t="s">
        <v>346</v>
      </c>
      <c r="B278" s="20" t="s">
        <v>347</v>
      </c>
      <c r="C278" s="21">
        <v>16231.51</v>
      </c>
      <c r="D278" s="21">
        <f>7466.49+649.26+649.26+649.26</f>
        <v>9414.27</v>
      </c>
      <c r="E278" s="21">
        <v>649.26</v>
      </c>
      <c r="F278" s="21">
        <f t="shared" si="7"/>
        <v>6817.24</v>
      </c>
      <c r="G278" s="20" t="s">
        <v>201</v>
      </c>
      <c r="H278" s="11"/>
      <c r="I278" s="11"/>
      <c r="J278" s="11"/>
      <c r="K278" s="7"/>
    </row>
    <row r="279" spans="1:11" s="6" customFormat="1">
      <c r="A279" s="20" t="s">
        <v>348</v>
      </c>
      <c r="B279" s="20" t="s">
        <v>349</v>
      </c>
      <c r="C279" s="21">
        <v>2671.2</v>
      </c>
      <c r="D279" s="21">
        <f>1121.87+106.85+106.85+106.85</f>
        <v>1442.4199999999996</v>
      </c>
      <c r="E279" s="21">
        <v>106.85</v>
      </c>
      <c r="F279" s="21">
        <f t="shared" si="7"/>
        <v>1228.7800000000002</v>
      </c>
      <c r="G279" s="20" t="s">
        <v>201</v>
      </c>
      <c r="H279" s="11"/>
      <c r="I279" s="11"/>
      <c r="J279" s="11"/>
      <c r="K279" s="7"/>
    </row>
    <row r="280" spans="1:11" s="6" customFormat="1">
      <c r="A280" s="20" t="s">
        <v>350</v>
      </c>
      <c r="B280" s="20" t="s">
        <v>351</v>
      </c>
      <c r="C280" s="21">
        <v>1050</v>
      </c>
      <c r="D280" s="21">
        <f>399+42+42+42</f>
        <v>525</v>
      </c>
      <c r="E280" s="21">
        <v>42</v>
      </c>
      <c r="F280" s="21">
        <f t="shared" si="7"/>
        <v>525</v>
      </c>
      <c r="G280" s="20" t="s">
        <v>201</v>
      </c>
      <c r="H280" s="11"/>
      <c r="I280" s="11"/>
      <c r="J280" s="11"/>
      <c r="K280" s="7"/>
    </row>
    <row r="281" spans="1:11" s="6" customFormat="1">
      <c r="A281" s="20" t="s">
        <v>352</v>
      </c>
      <c r="B281" s="20" t="s">
        <v>353</v>
      </c>
      <c r="C281" s="21">
        <v>16476.59</v>
      </c>
      <c r="D281" s="21">
        <f>3624.83+659.06+659.06+659.06</f>
        <v>5602.0099999999984</v>
      </c>
      <c r="E281" s="21">
        <v>659.06</v>
      </c>
      <c r="F281" s="21">
        <f t="shared" si="7"/>
        <v>10874.580000000002</v>
      </c>
      <c r="G281" s="20" t="s">
        <v>201</v>
      </c>
      <c r="H281" s="11"/>
      <c r="I281" s="11" t="s">
        <v>196</v>
      </c>
      <c r="J281" s="11"/>
      <c r="K281" s="7"/>
    </row>
    <row r="282" spans="1:11" s="6" customFormat="1">
      <c r="A282" s="20" t="s">
        <v>369</v>
      </c>
      <c r="B282" s="20" t="s">
        <v>370</v>
      </c>
      <c r="C282" s="21">
        <v>45146.77</v>
      </c>
      <c r="D282" s="21">
        <f>33408.59+1805.87+1805.87+1805.87</f>
        <v>38826.200000000004</v>
      </c>
      <c r="E282" s="21">
        <v>1805.87</v>
      </c>
      <c r="F282" s="21">
        <f t="shared" si="7"/>
        <v>6320.5699999999924</v>
      </c>
      <c r="G282" s="20" t="s">
        <v>201</v>
      </c>
      <c r="H282" s="11"/>
      <c r="I282" s="11"/>
      <c r="J282" s="11"/>
      <c r="K282" s="7"/>
    </row>
    <row r="283" spans="1:11" s="6" customFormat="1">
      <c r="A283" s="20" t="s">
        <v>371</v>
      </c>
      <c r="B283" s="20" t="s">
        <v>372</v>
      </c>
      <c r="C283" s="21">
        <v>10930</v>
      </c>
      <c r="D283" s="21">
        <v>10930</v>
      </c>
      <c r="E283" s="21">
        <v>0</v>
      </c>
      <c r="F283" s="21">
        <f t="shared" si="7"/>
        <v>0</v>
      </c>
      <c r="G283" s="20" t="s">
        <v>201</v>
      </c>
      <c r="H283" s="11"/>
      <c r="I283" s="11"/>
      <c r="J283" s="11"/>
      <c r="K283" s="7"/>
    </row>
    <row r="284" spans="1:11">
      <c r="A284" s="20" t="s">
        <v>373</v>
      </c>
      <c r="B284" s="20" t="s">
        <v>374</v>
      </c>
      <c r="C284" s="21">
        <v>655.8</v>
      </c>
      <c r="D284" s="21">
        <f>478.15+27.33+27.33+27.33</f>
        <v>560.14</v>
      </c>
      <c r="E284" s="21">
        <v>27.33</v>
      </c>
      <c r="F284" s="21">
        <f t="shared" si="7"/>
        <v>95.659999999999968</v>
      </c>
      <c r="G284" s="20" t="s">
        <v>201</v>
      </c>
      <c r="H284" s="11"/>
      <c r="I284" s="11"/>
      <c r="J284" s="11"/>
      <c r="K284" s="7"/>
    </row>
    <row r="285" spans="1:11">
      <c r="A285" s="20" t="s">
        <v>246</v>
      </c>
      <c r="B285" s="20" t="s">
        <v>247</v>
      </c>
      <c r="C285" s="21">
        <v>7845</v>
      </c>
      <c r="D285" s="21">
        <v>7845</v>
      </c>
      <c r="E285" s="21">
        <v>0</v>
      </c>
      <c r="F285" s="21">
        <f t="shared" si="7"/>
        <v>0</v>
      </c>
      <c r="G285" s="20" t="s">
        <v>201</v>
      </c>
      <c r="H285" s="6"/>
      <c r="I285" s="6"/>
      <c r="J285" s="6"/>
      <c r="K285" s="7"/>
    </row>
    <row r="286" spans="1:11">
      <c r="A286" s="20" t="s">
        <v>354</v>
      </c>
      <c r="B286" s="20" t="s">
        <v>355</v>
      </c>
      <c r="C286" s="21">
        <v>0</v>
      </c>
      <c r="D286" s="21">
        <v>0</v>
      </c>
      <c r="E286" s="21">
        <v>0</v>
      </c>
      <c r="F286" s="21">
        <f t="shared" si="7"/>
        <v>0</v>
      </c>
      <c r="G286" s="20" t="s">
        <v>201</v>
      </c>
      <c r="H286" s="6"/>
      <c r="I286" s="6"/>
      <c r="J286" s="6"/>
      <c r="K286" s="7"/>
    </row>
    <row r="287" spans="1:11">
      <c r="A287" s="20" t="s">
        <v>356</v>
      </c>
      <c r="B287" s="20" t="s">
        <v>357</v>
      </c>
      <c r="C287" s="21">
        <v>5250</v>
      </c>
      <c r="D287" s="21">
        <f>3675+210+210+210</f>
        <v>4305</v>
      </c>
      <c r="E287" s="21">
        <v>210</v>
      </c>
      <c r="F287" s="21">
        <f t="shared" si="7"/>
        <v>945</v>
      </c>
      <c r="G287" s="20" t="s">
        <v>201</v>
      </c>
      <c r="H287" s="6"/>
      <c r="I287" s="6"/>
      <c r="J287" s="6"/>
      <c r="K287" s="7"/>
    </row>
    <row r="288" spans="1:11">
      <c r="A288" s="20" t="s">
        <v>375</v>
      </c>
      <c r="B288" s="20" t="s">
        <v>376</v>
      </c>
      <c r="C288" s="21">
        <v>48210.45</v>
      </c>
      <c r="D288" s="21">
        <f>33747.3+1928.42+1928.42+1928.42</f>
        <v>39532.559999999998</v>
      </c>
      <c r="E288" s="21">
        <v>1928.42</v>
      </c>
      <c r="F288" s="21">
        <f t="shared" si="7"/>
        <v>8677.89</v>
      </c>
      <c r="G288" s="20" t="s">
        <v>201</v>
      </c>
      <c r="H288" s="6"/>
      <c r="I288" s="6"/>
      <c r="J288" s="6" t="s">
        <v>400</v>
      </c>
      <c r="K288" s="7"/>
    </row>
    <row r="289" spans="1:11">
      <c r="A289" s="20" t="s">
        <v>248</v>
      </c>
      <c r="B289" s="20" t="s">
        <v>249</v>
      </c>
      <c r="C289" s="21">
        <v>5295.68</v>
      </c>
      <c r="D289" s="21">
        <v>5295.68</v>
      </c>
      <c r="E289" s="21">
        <v>0</v>
      </c>
      <c r="F289" s="21">
        <f t="shared" si="7"/>
        <v>0</v>
      </c>
      <c r="G289" s="20" t="s">
        <v>201</v>
      </c>
      <c r="H289" s="6"/>
      <c r="I289" s="6"/>
      <c r="J289" s="6" t="s">
        <v>400</v>
      </c>
      <c r="K289" s="7"/>
    </row>
    <row r="290" spans="1:11">
      <c r="A290" s="20" t="s">
        <v>250</v>
      </c>
      <c r="B290" s="20" t="s">
        <v>251</v>
      </c>
      <c r="C290" s="21">
        <v>6259.99</v>
      </c>
      <c r="D290" s="21">
        <v>6259.99</v>
      </c>
      <c r="E290" s="21">
        <v>0</v>
      </c>
      <c r="F290" s="21">
        <f t="shared" si="7"/>
        <v>0</v>
      </c>
      <c r="G290" s="20" t="s">
        <v>201</v>
      </c>
      <c r="H290" s="6"/>
      <c r="I290" s="6"/>
      <c r="J290" s="6"/>
      <c r="K290" s="7"/>
    </row>
    <row r="291" spans="1:11">
      <c r="A291" s="20" t="s">
        <v>377</v>
      </c>
      <c r="B291" s="20" t="s">
        <v>378</v>
      </c>
      <c r="C291" s="21">
        <v>25824.57</v>
      </c>
      <c r="D291" s="21">
        <f>17044.17+1032.98+1032.98+1032.99</f>
        <v>20143.12</v>
      </c>
      <c r="E291" s="21">
        <v>1032.98</v>
      </c>
      <c r="F291" s="21">
        <f t="shared" si="7"/>
        <v>5681.4500000000007</v>
      </c>
      <c r="G291" s="20" t="s">
        <v>201</v>
      </c>
      <c r="K291" s="7"/>
    </row>
    <row r="292" spans="1:11">
      <c r="A292" s="20" t="s">
        <v>252</v>
      </c>
      <c r="B292" s="20" t="s">
        <v>253</v>
      </c>
      <c r="C292" s="21">
        <v>5247</v>
      </c>
      <c r="D292" s="21">
        <v>5247</v>
      </c>
      <c r="E292" s="21">
        <v>0</v>
      </c>
      <c r="F292" s="21">
        <f t="shared" si="7"/>
        <v>0</v>
      </c>
      <c r="G292" s="20" t="s">
        <v>201</v>
      </c>
      <c r="K292" s="7"/>
    </row>
    <row r="293" spans="1:11">
      <c r="A293" s="20" t="s">
        <v>379</v>
      </c>
      <c r="B293" s="20" t="s">
        <v>380</v>
      </c>
      <c r="C293" s="21">
        <v>12000</v>
      </c>
      <c r="D293" s="21">
        <v>12000</v>
      </c>
      <c r="E293" s="21">
        <v>0</v>
      </c>
      <c r="F293" s="21">
        <f t="shared" si="7"/>
        <v>0</v>
      </c>
      <c r="G293" s="20" t="s">
        <v>201</v>
      </c>
      <c r="K293" s="7"/>
    </row>
    <row r="294" spans="1:11">
      <c r="A294" s="20" t="s">
        <v>254</v>
      </c>
      <c r="B294" s="20" t="s">
        <v>255</v>
      </c>
      <c r="C294" s="21">
        <v>9646</v>
      </c>
      <c r="D294" s="21">
        <v>9646</v>
      </c>
      <c r="E294" s="21">
        <v>0</v>
      </c>
      <c r="F294" s="21">
        <f t="shared" si="7"/>
        <v>0</v>
      </c>
      <c r="G294" s="20" t="s">
        <v>201</v>
      </c>
      <c r="K294" s="7"/>
    </row>
    <row r="295" spans="1:11">
      <c r="A295" s="20" t="s">
        <v>256</v>
      </c>
      <c r="B295" s="20" t="s">
        <v>257</v>
      </c>
      <c r="C295" s="21">
        <v>15325</v>
      </c>
      <c r="D295" s="21">
        <v>15325</v>
      </c>
      <c r="E295" s="21">
        <v>0</v>
      </c>
      <c r="F295" s="21">
        <f t="shared" si="7"/>
        <v>0</v>
      </c>
      <c r="G295" s="20" t="s">
        <v>201</v>
      </c>
      <c r="K295" s="7"/>
    </row>
    <row r="296" spans="1:11">
      <c r="A296" s="20" t="s">
        <v>258</v>
      </c>
      <c r="B296" s="20" t="s">
        <v>259</v>
      </c>
      <c r="C296" s="21">
        <v>6062.46</v>
      </c>
      <c r="D296" s="21">
        <v>6062.46</v>
      </c>
      <c r="E296" s="21">
        <v>0</v>
      </c>
      <c r="F296" s="21">
        <f t="shared" si="7"/>
        <v>0</v>
      </c>
      <c r="G296" s="20" t="s">
        <v>201</v>
      </c>
      <c r="K296" s="7"/>
    </row>
    <row r="297" spans="1:11" s="11" customFormat="1">
      <c r="A297" s="20" t="s">
        <v>365</v>
      </c>
      <c r="B297" s="20" t="s">
        <v>366</v>
      </c>
      <c r="C297" s="21">
        <v>51840.86</v>
      </c>
      <c r="D297" s="21">
        <f>36288.59+10368.18+5184.09</f>
        <v>51840.86</v>
      </c>
      <c r="E297" s="21">
        <v>0</v>
      </c>
      <c r="F297" s="21">
        <f t="shared" si="7"/>
        <v>0</v>
      </c>
      <c r="G297" s="20" t="s">
        <v>201</v>
      </c>
      <c r="H297" s="6"/>
      <c r="I297" s="6"/>
      <c r="J297" s="6"/>
      <c r="K297" s="7"/>
    </row>
    <row r="298" spans="1:11" s="11" customFormat="1">
      <c r="A298" s="20" t="s">
        <v>367</v>
      </c>
      <c r="B298" s="20" t="s">
        <v>368</v>
      </c>
      <c r="C298" s="21">
        <v>51385.36</v>
      </c>
      <c r="D298" s="21">
        <f>25692.67+10277.07+10277.07+5138.55</f>
        <v>51385.36</v>
      </c>
      <c r="E298" s="21">
        <f>5138.55</f>
        <v>5138.55</v>
      </c>
      <c r="F298" s="21">
        <f t="shared" si="7"/>
        <v>0</v>
      </c>
      <c r="G298" s="20" t="s">
        <v>201</v>
      </c>
      <c r="H298" s="6"/>
      <c r="I298" s="6"/>
      <c r="J298" s="6"/>
      <c r="K298" s="7"/>
    </row>
    <row r="299" spans="1:11" s="11" customFormat="1">
      <c r="A299" s="20" t="s">
        <v>800</v>
      </c>
      <c r="B299" s="20" t="s">
        <v>801</v>
      </c>
      <c r="C299" s="21">
        <f>52215</f>
        <v>52215</v>
      </c>
      <c r="D299" s="21">
        <f>5221.5+10443</f>
        <v>15664.5</v>
      </c>
      <c r="E299" s="21">
        <f>10443</f>
        <v>10443</v>
      </c>
      <c r="F299" s="21">
        <f t="shared" si="7"/>
        <v>36550.5</v>
      </c>
      <c r="G299" s="20" t="s">
        <v>201</v>
      </c>
      <c r="H299" s="6"/>
      <c r="I299" s="6"/>
      <c r="J299" s="6"/>
      <c r="K299" s="7"/>
    </row>
    <row r="300" spans="1:11" s="11" customFormat="1">
      <c r="A300" s="20" t="s">
        <v>260</v>
      </c>
      <c r="B300" s="20" t="s">
        <v>261</v>
      </c>
      <c r="C300" s="21">
        <v>5665</v>
      </c>
      <c r="D300" s="21">
        <v>5665</v>
      </c>
      <c r="E300" s="21">
        <v>0</v>
      </c>
      <c r="F300" s="21">
        <f t="shared" si="7"/>
        <v>0</v>
      </c>
      <c r="G300" s="20" t="s">
        <v>201</v>
      </c>
      <c r="H300" s="6"/>
      <c r="I300" s="6"/>
      <c r="J300" s="6"/>
      <c r="K300" s="7"/>
    </row>
    <row r="301" spans="1:11" s="11" customFormat="1">
      <c r="A301" s="20" t="s">
        <v>262</v>
      </c>
      <c r="B301" s="20" t="s">
        <v>263</v>
      </c>
      <c r="C301" s="21">
        <v>11684</v>
      </c>
      <c r="D301" s="21">
        <v>11684</v>
      </c>
      <c r="E301" s="21">
        <v>0</v>
      </c>
      <c r="F301" s="21">
        <f t="shared" si="7"/>
        <v>0</v>
      </c>
      <c r="G301" s="20" t="s">
        <v>201</v>
      </c>
      <c r="H301" s="6"/>
      <c r="I301" s="6"/>
      <c r="J301" s="6"/>
      <c r="K301" s="7"/>
    </row>
    <row r="302" spans="1:11" s="11" customFormat="1">
      <c r="A302" s="20" t="s">
        <v>264</v>
      </c>
      <c r="B302" s="20" t="s">
        <v>265</v>
      </c>
      <c r="C302" s="21">
        <v>30008.79</v>
      </c>
      <c r="D302" s="21">
        <v>30008.79</v>
      </c>
      <c r="E302" s="21">
        <v>0</v>
      </c>
      <c r="F302" s="21">
        <f t="shared" si="7"/>
        <v>0</v>
      </c>
      <c r="G302" s="20" t="s">
        <v>201</v>
      </c>
      <c r="H302" s="6"/>
      <c r="I302" s="6"/>
      <c r="J302" s="6"/>
      <c r="K302" s="7"/>
    </row>
    <row r="303" spans="1:11" s="11" customFormat="1">
      <c r="A303" s="20" t="s">
        <v>266</v>
      </c>
      <c r="B303" s="20" t="s">
        <v>267</v>
      </c>
      <c r="C303" s="21">
        <v>14375</v>
      </c>
      <c r="D303" s="21">
        <v>14375</v>
      </c>
      <c r="E303" s="21">
        <v>0</v>
      </c>
      <c r="F303" s="21">
        <f t="shared" si="7"/>
        <v>0</v>
      </c>
      <c r="G303" s="20" t="s">
        <v>201</v>
      </c>
      <c r="H303" s="6"/>
      <c r="I303" s="6"/>
      <c r="J303" s="6"/>
      <c r="K303" s="7"/>
    </row>
    <row r="304" spans="1:11" s="11" customFormat="1">
      <c r="A304" s="20" t="s">
        <v>206</v>
      </c>
      <c r="B304" s="20" t="s">
        <v>207</v>
      </c>
      <c r="C304" s="21">
        <v>68752.02</v>
      </c>
      <c r="D304" s="21">
        <v>68752.02</v>
      </c>
      <c r="E304" s="21">
        <v>0</v>
      </c>
      <c r="F304" s="21">
        <f t="shared" si="7"/>
        <v>0</v>
      </c>
      <c r="G304" s="20" t="s">
        <v>201</v>
      </c>
      <c r="H304" s="6"/>
      <c r="I304" s="6"/>
      <c r="J304" s="6"/>
      <c r="K304" s="7"/>
    </row>
    <row r="305" spans="1:11" s="11" customFormat="1">
      <c r="A305" s="20" t="s">
        <v>208</v>
      </c>
      <c r="B305" s="20" t="s">
        <v>209</v>
      </c>
      <c r="C305" s="21">
        <v>72152</v>
      </c>
      <c r="D305" s="21">
        <v>72152</v>
      </c>
      <c r="E305" s="21">
        <v>0</v>
      </c>
      <c r="F305" s="21">
        <f t="shared" si="7"/>
        <v>0</v>
      </c>
      <c r="G305" s="20" t="s">
        <v>201</v>
      </c>
      <c r="H305" s="6"/>
      <c r="I305" s="6"/>
      <c r="J305" s="6"/>
      <c r="K305" s="7"/>
    </row>
    <row r="306" spans="1:11" s="11" customFormat="1">
      <c r="A306" s="20" t="s">
        <v>210</v>
      </c>
      <c r="B306" s="20" t="s">
        <v>211</v>
      </c>
      <c r="C306" s="21">
        <v>16700</v>
      </c>
      <c r="D306" s="21">
        <v>16700</v>
      </c>
      <c r="E306" s="21">
        <v>0</v>
      </c>
      <c r="F306" s="21">
        <f t="shared" si="7"/>
        <v>0</v>
      </c>
      <c r="G306" s="20" t="s">
        <v>201</v>
      </c>
      <c r="H306" s="6"/>
      <c r="I306" s="6"/>
      <c r="J306" s="6"/>
      <c r="K306" s="7"/>
    </row>
    <row r="307" spans="1:11" s="11" customFormat="1">
      <c r="A307" s="20" t="s">
        <v>268</v>
      </c>
      <c r="B307" s="20" t="s">
        <v>269</v>
      </c>
      <c r="C307" s="21">
        <v>8350</v>
      </c>
      <c r="D307" s="21">
        <v>8350</v>
      </c>
      <c r="E307" s="21">
        <v>0</v>
      </c>
      <c r="F307" s="21">
        <f t="shared" si="7"/>
        <v>0</v>
      </c>
      <c r="G307" s="20" t="s">
        <v>201</v>
      </c>
      <c r="H307" s="6"/>
      <c r="I307" s="6"/>
      <c r="J307" s="6"/>
      <c r="K307" s="7"/>
    </row>
    <row r="308" spans="1:11" s="11" customFormat="1">
      <c r="A308" s="20" t="s">
        <v>270</v>
      </c>
      <c r="B308" s="20" t="s">
        <v>271</v>
      </c>
      <c r="C308" s="21">
        <v>5409.08</v>
      </c>
      <c r="D308" s="21">
        <v>5409.08</v>
      </c>
      <c r="E308" s="21">
        <v>0</v>
      </c>
      <c r="F308" s="21">
        <f t="shared" si="7"/>
        <v>0</v>
      </c>
      <c r="G308" s="20" t="s">
        <v>201</v>
      </c>
      <c r="H308" s="6"/>
      <c r="I308" s="6"/>
      <c r="J308" s="6"/>
      <c r="K308" s="7"/>
    </row>
    <row r="309" spans="1:11" s="11" customFormat="1">
      <c r="A309" s="20" t="s">
        <v>212</v>
      </c>
      <c r="B309" s="20" t="s">
        <v>213</v>
      </c>
      <c r="C309" s="21">
        <v>4487.3900000000003</v>
      </c>
      <c r="D309" s="21">
        <v>4487.3900000000003</v>
      </c>
      <c r="E309" s="21">
        <v>0</v>
      </c>
      <c r="F309" s="21">
        <f t="shared" si="7"/>
        <v>0</v>
      </c>
      <c r="G309" s="20" t="s">
        <v>201</v>
      </c>
      <c r="H309" s="6"/>
      <c r="I309" s="6"/>
      <c r="J309" s="6"/>
      <c r="K309" s="7"/>
    </row>
    <row r="310" spans="1:11" s="11" customFormat="1">
      <c r="A310" s="20" t="s">
        <v>272</v>
      </c>
      <c r="B310" s="20" t="s">
        <v>273</v>
      </c>
      <c r="C310" s="21">
        <v>5839.19</v>
      </c>
      <c r="D310" s="21">
        <v>5839.19</v>
      </c>
      <c r="E310" s="21">
        <v>0</v>
      </c>
      <c r="F310" s="21">
        <f t="shared" si="7"/>
        <v>0</v>
      </c>
      <c r="G310" s="20" t="s">
        <v>201</v>
      </c>
      <c r="H310" s="6"/>
      <c r="I310" s="6"/>
      <c r="J310" s="6"/>
      <c r="K310" s="7"/>
    </row>
    <row r="311" spans="1:11" s="11" customFormat="1">
      <c r="A311" s="20" t="s">
        <v>274</v>
      </c>
      <c r="B311" s="20" t="s">
        <v>275</v>
      </c>
      <c r="C311" s="21">
        <v>9860.44</v>
      </c>
      <c r="D311" s="21">
        <v>9860.44</v>
      </c>
      <c r="E311" s="21">
        <v>0</v>
      </c>
      <c r="F311" s="21">
        <f t="shared" si="7"/>
        <v>0</v>
      </c>
      <c r="G311" s="20" t="s">
        <v>201</v>
      </c>
      <c r="H311" s="6"/>
      <c r="I311" s="6"/>
      <c r="J311" s="6"/>
      <c r="K311" s="7"/>
    </row>
    <row r="312" spans="1:11" s="11" customFormat="1">
      <c r="A312" s="20" t="s">
        <v>276</v>
      </c>
      <c r="B312" s="20" t="s">
        <v>277</v>
      </c>
      <c r="C312" s="21">
        <v>12105.2</v>
      </c>
      <c r="D312" s="21">
        <v>12105.2</v>
      </c>
      <c r="E312" s="21">
        <v>0</v>
      </c>
      <c r="F312" s="21">
        <f t="shared" si="7"/>
        <v>0</v>
      </c>
      <c r="G312" s="20" t="s">
        <v>201</v>
      </c>
      <c r="H312" s="8"/>
      <c r="I312" s="8"/>
      <c r="J312" s="8"/>
      <c r="K312" s="7"/>
    </row>
    <row r="313" spans="1:11" s="11" customFormat="1">
      <c r="A313" s="20" t="s">
        <v>278</v>
      </c>
      <c r="B313" s="20" t="s">
        <v>279</v>
      </c>
      <c r="C313" s="21">
        <v>28500</v>
      </c>
      <c r="D313" s="21">
        <f>27075+1425</f>
        <v>28500</v>
      </c>
      <c r="E313" s="21">
        <v>0</v>
      </c>
      <c r="F313" s="21">
        <f t="shared" si="7"/>
        <v>0</v>
      </c>
      <c r="G313" s="20" t="s">
        <v>201</v>
      </c>
      <c r="H313" s="8"/>
      <c r="I313" s="8"/>
      <c r="J313" s="8"/>
      <c r="K313" s="7"/>
    </row>
    <row r="314" spans="1:11" s="11" customFormat="1">
      <c r="A314" s="20" t="s">
        <v>280</v>
      </c>
      <c r="B314" s="20" t="s">
        <v>281</v>
      </c>
      <c r="C314" s="21">
        <v>7950</v>
      </c>
      <c r="D314" s="21">
        <f>7552.5+397.5</f>
        <v>7950</v>
      </c>
      <c r="E314" s="21">
        <v>0</v>
      </c>
      <c r="F314" s="21">
        <f t="shared" si="7"/>
        <v>0</v>
      </c>
      <c r="G314" s="20" t="s">
        <v>201</v>
      </c>
      <c r="H314" s="8"/>
      <c r="I314" s="8"/>
      <c r="J314" s="8"/>
      <c r="K314" s="7"/>
    </row>
    <row r="315" spans="1:11" s="11" customFormat="1">
      <c r="A315" s="20" t="s">
        <v>282</v>
      </c>
      <c r="B315" s="20" t="s">
        <v>283</v>
      </c>
      <c r="C315" s="21">
        <v>13193.23</v>
      </c>
      <c r="D315" s="21">
        <v>13193.23</v>
      </c>
      <c r="E315" s="21">
        <v>0</v>
      </c>
      <c r="F315" s="21">
        <f t="shared" si="7"/>
        <v>0</v>
      </c>
      <c r="G315" s="20" t="s">
        <v>201</v>
      </c>
      <c r="H315" s="8"/>
      <c r="I315" s="8"/>
      <c r="J315" s="8"/>
      <c r="K315" s="7"/>
    </row>
    <row r="316" spans="1:11" s="11" customFormat="1">
      <c r="A316" s="20" t="s">
        <v>381</v>
      </c>
      <c r="B316" s="20" t="s">
        <v>382</v>
      </c>
      <c r="C316" s="21">
        <v>379433.42</v>
      </c>
      <c r="D316" s="21">
        <f>98652.64+15177.33+15177.33+15177.34</f>
        <v>144184.64000000001</v>
      </c>
      <c r="E316" s="21">
        <v>15177.34</v>
      </c>
      <c r="F316" s="21">
        <f t="shared" si="7"/>
        <v>235248.77999999997</v>
      </c>
      <c r="G316" s="20" t="s">
        <v>201</v>
      </c>
      <c r="H316" s="8"/>
      <c r="I316" s="8"/>
      <c r="J316" s="8"/>
      <c r="K316" s="7"/>
    </row>
    <row r="317" spans="1:11" s="11" customFormat="1">
      <c r="A317" s="20" t="s">
        <v>383</v>
      </c>
      <c r="B317" s="20" t="s">
        <v>384</v>
      </c>
      <c r="C317" s="21">
        <v>821484.7</v>
      </c>
      <c r="D317" s="21">
        <f>213585.99+32859.39+32859.39+32859.39</f>
        <v>312164.16000000003</v>
      </c>
      <c r="E317" s="21">
        <v>32859.39</v>
      </c>
      <c r="F317" s="21">
        <f t="shared" si="7"/>
        <v>509320.53999999992</v>
      </c>
      <c r="G317" s="20" t="s">
        <v>201</v>
      </c>
      <c r="K317" s="7"/>
    </row>
    <row r="318" spans="1:11" s="11" customFormat="1">
      <c r="A318" s="20" t="s">
        <v>385</v>
      </c>
      <c r="B318" s="20" t="s">
        <v>386</v>
      </c>
      <c r="C318" s="21">
        <v>61377.62</v>
      </c>
      <c r="D318" s="21">
        <f>14065.7+2557.4+2557.4+2557.4</f>
        <v>21737.900000000005</v>
      </c>
      <c r="E318" s="21">
        <v>2557.4</v>
      </c>
      <c r="F318" s="21">
        <f t="shared" si="7"/>
        <v>39639.72</v>
      </c>
      <c r="G318" s="20" t="s">
        <v>201</v>
      </c>
      <c r="K318" s="7"/>
    </row>
    <row r="319" spans="1:11" s="11" customFormat="1">
      <c r="A319" s="20" t="s">
        <v>284</v>
      </c>
      <c r="B319" s="20" t="s">
        <v>285</v>
      </c>
      <c r="C319" s="21">
        <v>15319.01</v>
      </c>
      <c r="D319" s="21">
        <v>15319.01</v>
      </c>
      <c r="E319" s="21">
        <v>0</v>
      </c>
      <c r="F319" s="21">
        <f t="shared" si="7"/>
        <v>0</v>
      </c>
      <c r="G319" s="20" t="s">
        <v>201</v>
      </c>
      <c r="K319" s="7"/>
    </row>
    <row r="320" spans="1:11" s="11" customFormat="1">
      <c r="A320" s="20" t="s">
        <v>286</v>
      </c>
      <c r="B320" s="20" t="s">
        <v>287</v>
      </c>
      <c r="C320" s="21">
        <v>5885</v>
      </c>
      <c r="D320" s="21">
        <f>3825.25+588.5+588.5+588.5</f>
        <v>5590.75</v>
      </c>
      <c r="E320" s="21">
        <v>588.5</v>
      </c>
      <c r="F320" s="21">
        <f t="shared" ref="F320:F383" si="8">+C320-D320</f>
        <v>294.25</v>
      </c>
      <c r="G320" s="20" t="s">
        <v>201</v>
      </c>
      <c r="K320" s="7"/>
    </row>
    <row r="321" spans="1:11" s="11" customFormat="1">
      <c r="A321" s="20" t="s">
        <v>288</v>
      </c>
      <c r="B321" s="20" t="s">
        <v>289</v>
      </c>
      <c r="C321" s="21">
        <v>5500</v>
      </c>
      <c r="D321" s="21">
        <f>3024.99+550+550+550</f>
        <v>4674.99</v>
      </c>
      <c r="E321" s="21">
        <v>550</v>
      </c>
      <c r="F321" s="21">
        <f t="shared" si="8"/>
        <v>825.01000000000022</v>
      </c>
      <c r="G321" s="20" t="s">
        <v>201</v>
      </c>
      <c r="K321" s="7"/>
    </row>
    <row r="322" spans="1:11" s="11" customFormat="1">
      <c r="A322" s="20" t="s">
        <v>290</v>
      </c>
      <c r="B322" s="20" t="s">
        <v>291</v>
      </c>
      <c r="C322" s="21">
        <v>12380</v>
      </c>
      <c r="D322" s="21">
        <f>6809+1238+1238+1238</f>
        <v>10523</v>
      </c>
      <c r="E322" s="21">
        <v>1238</v>
      </c>
      <c r="F322" s="21">
        <f t="shared" si="8"/>
        <v>1857</v>
      </c>
      <c r="G322" s="20" t="s">
        <v>201</v>
      </c>
      <c r="K322" s="7"/>
    </row>
    <row r="323" spans="1:11" s="11" customFormat="1">
      <c r="A323" s="20" t="s">
        <v>292</v>
      </c>
      <c r="B323" s="20" t="s">
        <v>293</v>
      </c>
      <c r="C323" s="21">
        <v>6896.15</v>
      </c>
      <c r="D323" s="21">
        <f>3792.85+689.62+689.62+689.62</f>
        <v>5861.71</v>
      </c>
      <c r="E323" s="21">
        <v>689.62</v>
      </c>
      <c r="F323" s="21">
        <f t="shared" si="8"/>
        <v>1034.4399999999996</v>
      </c>
      <c r="G323" s="20" t="s">
        <v>201</v>
      </c>
      <c r="K323" s="7"/>
    </row>
    <row r="324" spans="1:11" s="11" customFormat="1">
      <c r="A324" s="20" t="s">
        <v>294</v>
      </c>
      <c r="B324" s="20" t="s">
        <v>295</v>
      </c>
      <c r="C324" s="21">
        <v>5432.73</v>
      </c>
      <c r="D324" s="21">
        <v>5432.73</v>
      </c>
      <c r="E324" s="21">
        <v>0</v>
      </c>
      <c r="F324" s="21">
        <f t="shared" si="8"/>
        <v>0</v>
      </c>
      <c r="G324" s="20" t="s">
        <v>201</v>
      </c>
      <c r="K324" s="7"/>
    </row>
    <row r="325" spans="1:11" s="11" customFormat="1">
      <c r="A325" s="20" t="s">
        <v>296</v>
      </c>
      <c r="B325" s="20" t="s">
        <v>297</v>
      </c>
      <c r="C325" s="21">
        <v>6313.33</v>
      </c>
      <c r="D325" s="21">
        <v>6313.33</v>
      </c>
      <c r="E325" s="21">
        <v>0</v>
      </c>
      <c r="F325" s="21">
        <f t="shared" si="8"/>
        <v>0</v>
      </c>
      <c r="G325" s="20" t="s">
        <v>201</v>
      </c>
      <c r="K325" s="7"/>
    </row>
    <row r="326" spans="1:11" s="11" customFormat="1">
      <c r="A326" s="20" t="s">
        <v>298</v>
      </c>
      <c r="B326" s="20" t="s">
        <v>297</v>
      </c>
      <c r="C326" s="21">
        <v>5560</v>
      </c>
      <c r="D326" s="21">
        <v>5560</v>
      </c>
      <c r="E326" s="21">
        <v>0</v>
      </c>
      <c r="F326" s="21">
        <f t="shared" si="8"/>
        <v>0</v>
      </c>
      <c r="G326" s="20" t="s">
        <v>201</v>
      </c>
      <c r="K326" s="7"/>
    </row>
    <row r="327" spans="1:11" s="11" customFormat="1">
      <c r="A327" s="20" t="s">
        <v>299</v>
      </c>
      <c r="B327" s="20" t="s">
        <v>300</v>
      </c>
      <c r="C327" s="21">
        <v>9943.93</v>
      </c>
      <c r="D327" s="21">
        <f>5469.14+994.39+994.4+994.4</f>
        <v>8452.33</v>
      </c>
      <c r="E327" s="21">
        <f>994.4</f>
        <v>994.4</v>
      </c>
      <c r="F327" s="21">
        <f t="shared" si="8"/>
        <v>1491.6000000000004</v>
      </c>
      <c r="G327" s="20" t="s">
        <v>201</v>
      </c>
      <c r="K327" s="7"/>
    </row>
    <row r="328" spans="1:11" s="11" customFormat="1">
      <c r="A328" s="20" t="s">
        <v>301</v>
      </c>
      <c r="B328" s="20" t="s">
        <v>302</v>
      </c>
      <c r="C328" s="21">
        <v>10838.12</v>
      </c>
      <c r="D328" s="21">
        <v>10838.12</v>
      </c>
      <c r="E328" s="21">
        <v>0</v>
      </c>
      <c r="F328" s="21">
        <f t="shared" si="8"/>
        <v>0</v>
      </c>
      <c r="G328" s="20" t="s">
        <v>201</v>
      </c>
      <c r="K328" s="7"/>
    </row>
    <row r="329" spans="1:11" s="11" customFormat="1">
      <c r="A329" s="20" t="s">
        <v>303</v>
      </c>
      <c r="B329" s="20" t="s">
        <v>304</v>
      </c>
      <c r="C329" s="21">
        <v>7520</v>
      </c>
      <c r="D329" s="21">
        <f>6767.99+752.01</f>
        <v>7520</v>
      </c>
      <c r="E329" s="21">
        <v>0</v>
      </c>
      <c r="F329" s="21">
        <f t="shared" si="8"/>
        <v>0</v>
      </c>
      <c r="G329" s="20" t="s">
        <v>201</v>
      </c>
      <c r="K329" s="7"/>
    </row>
    <row r="330" spans="1:11" s="11" customFormat="1">
      <c r="A330" s="20" t="s">
        <v>305</v>
      </c>
      <c r="B330" s="20" t="s">
        <v>306</v>
      </c>
      <c r="C330" s="21">
        <v>23126</v>
      </c>
      <c r="D330" s="21">
        <f>10406.7+2312.6+2312.6+2312.6</f>
        <v>17344.5</v>
      </c>
      <c r="E330" s="21">
        <v>2312.6</v>
      </c>
      <c r="F330" s="21">
        <f t="shared" si="8"/>
        <v>5781.5</v>
      </c>
      <c r="G330" s="20" t="s">
        <v>201</v>
      </c>
      <c r="K330" s="7"/>
    </row>
    <row r="331" spans="1:11" s="11" customFormat="1">
      <c r="A331" s="20" t="s">
        <v>307</v>
      </c>
      <c r="B331" s="20" t="s">
        <v>308</v>
      </c>
      <c r="C331" s="21">
        <v>47400</v>
      </c>
      <c r="D331" s="21">
        <f>26662.5+5925+5925+5925</f>
        <v>44437.5</v>
      </c>
      <c r="E331" s="21">
        <v>5925</v>
      </c>
      <c r="F331" s="21">
        <f t="shared" si="8"/>
        <v>2962.5</v>
      </c>
      <c r="G331" s="20" t="s">
        <v>201</v>
      </c>
      <c r="K331" s="7"/>
    </row>
    <row r="332" spans="1:11" s="11" customFormat="1">
      <c r="A332" s="20" t="s">
        <v>309</v>
      </c>
      <c r="B332" s="20" t="s">
        <v>310</v>
      </c>
      <c r="C332" s="21">
        <v>8000</v>
      </c>
      <c r="D332" s="21">
        <f>4499.99+1000+1000+1000</f>
        <v>7499.99</v>
      </c>
      <c r="E332" s="21">
        <v>1000</v>
      </c>
      <c r="F332" s="21">
        <f t="shared" si="8"/>
        <v>500.01000000000022</v>
      </c>
      <c r="G332" s="20" t="s">
        <v>201</v>
      </c>
      <c r="K332" s="7"/>
    </row>
    <row r="333" spans="1:11" s="11" customFormat="1">
      <c r="A333" s="20" t="s">
        <v>311</v>
      </c>
      <c r="B333" s="20" t="s">
        <v>312</v>
      </c>
      <c r="C333" s="21">
        <v>17748</v>
      </c>
      <c r="D333" s="21">
        <f>7986.6+1774.8+1774.8+1774.8</f>
        <v>13310.999999999998</v>
      </c>
      <c r="E333" s="21">
        <v>1774.8</v>
      </c>
      <c r="F333" s="21">
        <f t="shared" si="8"/>
        <v>4437.0000000000018</v>
      </c>
      <c r="G333" s="20" t="s">
        <v>201</v>
      </c>
      <c r="K333" s="7"/>
    </row>
    <row r="334" spans="1:11" s="11" customFormat="1">
      <c r="A334" s="20" t="s">
        <v>313</v>
      </c>
      <c r="B334" s="20" t="s">
        <v>314</v>
      </c>
      <c r="C334" s="21">
        <v>6131.5</v>
      </c>
      <c r="D334" s="21">
        <f>4292.05+1226.3+613.15</f>
        <v>6131.5</v>
      </c>
      <c r="E334" s="21">
        <v>0</v>
      </c>
      <c r="F334" s="21">
        <f t="shared" si="8"/>
        <v>0</v>
      </c>
      <c r="G334" s="20" t="s">
        <v>201</v>
      </c>
      <c r="K334" s="7"/>
    </row>
    <row r="335" spans="1:11" s="11" customFormat="1">
      <c r="A335" s="20" t="s">
        <v>315</v>
      </c>
      <c r="B335" s="20" t="s">
        <v>316</v>
      </c>
      <c r="C335" s="21">
        <v>10660.08</v>
      </c>
      <c r="D335" s="21">
        <f>3731.01+1066.01+1066.01+1066.01</f>
        <v>6929.0400000000009</v>
      </c>
      <c r="E335" s="21">
        <v>1066.01</v>
      </c>
      <c r="F335" s="21">
        <f t="shared" si="8"/>
        <v>3731.0399999999991</v>
      </c>
      <c r="G335" s="20" t="s">
        <v>201</v>
      </c>
      <c r="K335" s="7"/>
    </row>
    <row r="336" spans="1:11" s="11" customFormat="1">
      <c r="A336" s="20" t="s">
        <v>317</v>
      </c>
      <c r="B336" s="20" t="s">
        <v>318</v>
      </c>
      <c r="C336" s="21">
        <v>5700</v>
      </c>
      <c r="D336" s="21">
        <f>3990+1140+570</f>
        <v>5700</v>
      </c>
      <c r="E336" s="21">
        <v>0</v>
      </c>
      <c r="F336" s="21">
        <f t="shared" si="8"/>
        <v>0</v>
      </c>
      <c r="G336" s="20" t="s">
        <v>201</v>
      </c>
      <c r="K336" s="7"/>
    </row>
    <row r="337" spans="1:11" s="11" customFormat="1">
      <c r="A337" s="20" t="s">
        <v>319</v>
      </c>
      <c r="B337" s="20" t="s">
        <v>320</v>
      </c>
      <c r="C337" s="21">
        <v>6400.72</v>
      </c>
      <c r="D337" s="21">
        <f>4480.49+1280.15+640.08</f>
        <v>6400.7199999999993</v>
      </c>
      <c r="E337" s="21">
        <v>0</v>
      </c>
      <c r="F337" s="21">
        <f t="shared" si="8"/>
        <v>0</v>
      </c>
      <c r="G337" s="20" t="s">
        <v>201</v>
      </c>
      <c r="K337" s="7"/>
    </row>
    <row r="338" spans="1:11" s="11" customFormat="1">
      <c r="A338" s="20" t="s">
        <v>204</v>
      </c>
      <c r="B338" s="20" t="s">
        <v>205</v>
      </c>
      <c r="C338" s="21">
        <v>18822.849999999999</v>
      </c>
      <c r="D338" s="21">
        <f>6587.98+1882.28+1882.28+1882.29</f>
        <v>12234.830000000002</v>
      </c>
      <c r="E338" s="21">
        <v>1882.29</v>
      </c>
      <c r="F338" s="21">
        <f t="shared" si="8"/>
        <v>6588.0199999999968</v>
      </c>
      <c r="G338" s="20" t="s">
        <v>201</v>
      </c>
      <c r="K338" s="7"/>
    </row>
    <row r="339" spans="1:11" s="11" customFormat="1">
      <c r="A339" s="20" t="s">
        <v>321</v>
      </c>
      <c r="B339" s="20" t="s">
        <v>322</v>
      </c>
      <c r="C339" s="21">
        <v>12478.7</v>
      </c>
      <c r="D339" s="21">
        <f>4367.54+1247.87+1247.87+1247.87</f>
        <v>8111.15</v>
      </c>
      <c r="E339" s="21">
        <v>1247.8699999999999</v>
      </c>
      <c r="F339" s="21">
        <f t="shared" si="8"/>
        <v>4367.5500000000011</v>
      </c>
      <c r="G339" s="20" t="s">
        <v>201</v>
      </c>
      <c r="K339" s="7"/>
    </row>
    <row r="340" spans="1:11" s="11" customFormat="1">
      <c r="A340" s="20" t="s">
        <v>323</v>
      </c>
      <c r="B340" s="20" t="s">
        <v>324</v>
      </c>
      <c r="C340" s="21">
        <v>11249</v>
      </c>
      <c r="D340" s="21">
        <f>3937.15+1124.9+1124.9+1124.9</f>
        <v>7311.85</v>
      </c>
      <c r="E340" s="21">
        <v>1124.9000000000001</v>
      </c>
      <c r="F340" s="21">
        <f t="shared" si="8"/>
        <v>3937.1499999999996</v>
      </c>
      <c r="G340" s="20" t="s">
        <v>201</v>
      </c>
      <c r="K340" s="7"/>
    </row>
    <row r="341" spans="1:11" s="11" customFormat="1">
      <c r="A341" s="20" t="s">
        <v>325</v>
      </c>
      <c r="B341" s="20" t="s">
        <v>326</v>
      </c>
      <c r="C341" s="21">
        <v>26550</v>
      </c>
      <c r="D341" s="21">
        <f>13275+5310+5310+2655</f>
        <v>26550</v>
      </c>
      <c r="E341" s="21">
        <f>2655</f>
        <v>2655</v>
      </c>
      <c r="F341" s="21">
        <f t="shared" si="8"/>
        <v>0</v>
      </c>
      <c r="G341" s="20" t="s">
        <v>201</v>
      </c>
      <c r="K341" s="7"/>
    </row>
    <row r="342" spans="1:11" s="11" customFormat="1">
      <c r="A342" s="20" t="s">
        <v>327</v>
      </c>
      <c r="B342" s="20" t="s">
        <v>328</v>
      </c>
      <c r="C342" s="21">
        <v>7134.76</v>
      </c>
      <c r="D342" s="21">
        <f>1783.67+713.47+713.48+713.48</f>
        <v>3924.1000000000004</v>
      </c>
      <c r="E342" s="21">
        <v>713.48</v>
      </c>
      <c r="F342" s="21">
        <f t="shared" si="8"/>
        <v>3210.66</v>
      </c>
      <c r="G342" s="20" t="s">
        <v>201</v>
      </c>
      <c r="K342" s="7"/>
    </row>
    <row r="343" spans="1:11" s="11" customFormat="1">
      <c r="A343" s="20" t="s">
        <v>214</v>
      </c>
      <c r="B343" s="20" t="s">
        <v>215</v>
      </c>
      <c r="C343" s="21">
        <v>25144</v>
      </c>
      <c r="D343" s="21">
        <f>20953.33+4190.67</f>
        <v>25144</v>
      </c>
      <c r="E343" s="21">
        <v>0</v>
      </c>
      <c r="F343" s="21">
        <f t="shared" si="8"/>
        <v>0</v>
      </c>
      <c r="G343" s="20" t="s">
        <v>201</v>
      </c>
      <c r="K343" s="7"/>
    </row>
    <row r="344" spans="1:11" s="11" customFormat="1">
      <c r="A344" s="20" t="s">
        <v>329</v>
      </c>
      <c r="B344" s="20" t="s">
        <v>330</v>
      </c>
      <c r="C344" s="21">
        <v>5603.6</v>
      </c>
      <c r="D344" s="21">
        <f>2801.79+1120.72+1120.72+560.37</f>
        <v>5603.6</v>
      </c>
      <c r="E344" s="21">
        <f>560.37</f>
        <v>560.37</v>
      </c>
      <c r="F344" s="21">
        <f t="shared" si="8"/>
        <v>0</v>
      </c>
      <c r="G344" s="20" t="s">
        <v>201</v>
      </c>
      <c r="H344" s="6"/>
      <c r="I344" s="6"/>
      <c r="J344" s="6"/>
      <c r="K344" s="7"/>
    </row>
    <row r="345" spans="1:11" s="11" customFormat="1">
      <c r="A345" s="20" t="s">
        <v>331</v>
      </c>
      <c r="B345" s="20" t="s">
        <v>332</v>
      </c>
      <c r="C345" s="21">
        <v>9162.5</v>
      </c>
      <c r="D345" s="21">
        <f>2748.74+1832.5+1832.5+1832.5</f>
        <v>8246.24</v>
      </c>
      <c r="E345" s="21">
        <v>1832.5</v>
      </c>
      <c r="F345" s="21">
        <f t="shared" si="8"/>
        <v>916.26000000000022</v>
      </c>
      <c r="G345" s="20" t="s">
        <v>201</v>
      </c>
      <c r="H345" s="6"/>
      <c r="I345" s="6"/>
      <c r="J345" s="6"/>
      <c r="K345" s="7"/>
    </row>
    <row r="346" spans="1:11" s="11" customFormat="1">
      <c r="A346" s="20" t="s">
        <v>333</v>
      </c>
      <c r="B346" s="20" t="s">
        <v>334</v>
      </c>
      <c r="C346" s="21">
        <v>9616</v>
      </c>
      <c r="D346" s="21">
        <f>1442.39+961.6+961.6+961.6</f>
        <v>4327.1900000000005</v>
      </c>
      <c r="E346" s="21">
        <v>961.6</v>
      </c>
      <c r="F346" s="21">
        <f t="shared" si="8"/>
        <v>5288.8099999999995</v>
      </c>
      <c r="G346" s="20" t="s">
        <v>201</v>
      </c>
      <c r="H346" s="6"/>
      <c r="I346" s="6"/>
      <c r="J346" s="6"/>
      <c r="K346" s="7"/>
    </row>
    <row r="347" spans="1:11" s="11" customFormat="1">
      <c r="A347" s="20" t="s">
        <v>335</v>
      </c>
      <c r="B347" s="20" t="s">
        <v>336</v>
      </c>
      <c r="C347" s="21">
        <v>6129.98</v>
      </c>
      <c r="D347" s="21">
        <f>1838.98+1226+1226+1226</f>
        <v>5516.98</v>
      </c>
      <c r="E347" s="21">
        <v>1226</v>
      </c>
      <c r="F347" s="21">
        <f t="shared" si="8"/>
        <v>613</v>
      </c>
      <c r="G347" s="20" t="s">
        <v>201</v>
      </c>
      <c r="H347" s="6"/>
      <c r="I347" s="6"/>
      <c r="J347" s="6"/>
      <c r="K347" s="7"/>
    </row>
    <row r="348" spans="1:11" s="11" customFormat="1">
      <c r="A348" s="20" t="s">
        <v>337</v>
      </c>
      <c r="B348" s="20" t="s">
        <v>336</v>
      </c>
      <c r="C348" s="21">
        <v>6129.98</v>
      </c>
      <c r="D348" s="21">
        <f>1838.98+1226+1226+1226</f>
        <v>5516.98</v>
      </c>
      <c r="E348" s="21">
        <v>1226</v>
      </c>
      <c r="F348" s="21">
        <f t="shared" si="8"/>
        <v>613</v>
      </c>
      <c r="G348" s="20" t="s">
        <v>201</v>
      </c>
      <c r="H348" s="6"/>
      <c r="I348" s="6"/>
      <c r="J348" s="6"/>
      <c r="K348" s="7"/>
    </row>
    <row r="349" spans="1:11" s="11" customFormat="1">
      <c r="A349" s="20" t="s">
        <v>338</v>
      </c>
      <c r="B349" s="20" t="s">
        <v>339</v>
      </c>
      <c r="C349" s="21">
        <v>23960</v>
      </c>
      <c r="D349" s="21">
        <f>1198+2396+2396+2396</f>
        <v>8386</v>
      </c>
      <c r="E349" s="21">
        <v>2396</v>
      </c>
      <c r="F349" s="21">
        <f t="shared" si="8"/>
        <v>15574</v>
      </c>
      <c r="G349" s="20" t="s">
        <v>201</v>
      </c>
      <c r="H349" s="6"/>
      <c r="I349" s="6"/>
      <c r="J349" s="6"/>
      <c r="K349" s="7"/>
    </row>
    <row r="350" spans="1:11" s="11" customFormat="1">
      <c r="A350" s="20" t="s">
        <v>340</v>
      </c>
      <c r="B350" s="20" t="s">
        <v>341</v>
      </c>
      <c r="C350" s="21">
        <v>34150</v>
      </c>
      <c r="D350" s="21">
        <f>1707.49+3415+3415+3415</f>
        <v>11952.49</v>
      </c>
      <c r="E350" s="21">
        <v>3415</v>
      </c>
      <c r="F350" s="21">
        <f t="shared" si="8"/>
        <v>22197.510000000002</v>
      </c>
      <c r="G350" s="20" t="s">
        <v>201</v>
      </c>
      <c r="H350" s="6"/>
      <c r="I350" s="6"/>
      <c r="J350" s="6"/>
      <c r="K350" s="7"/>
    </row>
    <row r="351" spans="1:11" s="11" customFormat="1">
      <c r="A351" s="20" t="s">
        <v>344</v>
      </c>
      <c r="B351" s="20" t="s">
        <v>345</v>
      </c>
      <c r="C351" s="21">
        <v>8693.75</v>
      </c>
      <c r="D351" s="21">
        <f>1448.95+2897.91+2897.92+1448.97</f>
        <v>8693.75</v>
      </c>
      <c r="E351" s="21">
        <f>1448.97</f>
        <v>1448.97</v>
      </c>
      <c r="F351" s="21">
        <f t="shared" si="8"/>
        <v>0</v>
      </c>
      <c r="G351" s="20" t="s">
        <v>201</v>
      </c>
      <c r="H351" s="6"/>
      <c r="I351" s="6"/>
      <c r="J351" s="6"/>
      <c r="K351" s="7"/>
    </row>
    <row r="352" spans="1:11" s="11" customFormat="1">
      <c r="A352" s="20" t="s">
        <v>342</v>
      </c>
      <c r="B352" s="20" t="s">
        <v>343</v>
      </c>
      <c r="C352" s="21">
        <v>5141.22</v>
      </c>
      <c r="D352" s="21">
        <f>514.12+1028.24+1028.24+1028.24</f>
        <v>3598.84</v>
      </c>
      <c r="E352" s="21">
        <v>1028.24</v>
      </c>
      <c r="F352" s="21">
        <f t="shared" si="8"/>
        <v>1542.38</v>
      </c>
      <c r="G352" s="20" t="s">
        <v>201</v>
      </c>
      <c r="H352" s="6"/>
      <c r="I352" s="6"/>
      <c r="J352" s="6"/>
      <c r="K352" s="7"/>
    </row>
    <row r="353" spans="1:11" s="11" customFormat="1">
      <c r="A353" s="20" t="s">
        <v>216</v>
      </c>
      <c r="B353" s="20" t="s">
        <v>217</v>
      </c>
      <c r="C353" s="21">
        <v>7000.32</v>
      </c>
      <c r="D353" s="21">
        <f>1166.71+2333.44+2333.44+1166.73</f>
        <v>7000.32</v>
      </c>
      <c r="E353" s="21">
        <f>1166.73</f>
        <v>1166.73</v>
      </c>
      <c r="F353" s="21">
        <f t="shared" si="8"/>
        <v>0</v>
      </c>
      <c r="G353" s="20" t="s">
        <v>201</v>
      </c>
      <c r="H353" s="6"/>
      <c r="I353" s="6"/>
      <c r="J353" s="6"/>
      <c r="K353" s="7"/>
    </row>
    <row r="354" spans="1:11" s="11" customFormat="1">
      <c r="A354" s="20" t="s">
        <v>389</v>
      </c>
      <c r="B354" s="20" t="s">
        <v>390</v>
      </c>
      <c r="C354" s="21">
        <v>7607.47</v>
      </c>
      <c r="D354" s="21">
        <f>380.37+760.74+760.74</f>
        <v>1901.8500000000001</v>
      </c>
      <c r="E354" s="21">
        <f>760.74</f>
        <v>760.74</v>
      </c>
      <c r="F354" s="21">
        <f t="shared" si="8"/>
        <v>5705.62</v>
      </c>
      <c r="G354" s="20" t="s">
        <v>201</v>
      </c>
      <c r="H354" s="6"/>
      <c r="I354" s="6"/>
      <c r="J354" s="6"/>
      <c r="K354" s="7"/>
    </row>
    <row r="355" spans="1:11" s="11" customFormat="1">
      <c r="A355" s="20" t="s">
        <v>391</v>
      </c>
      <c r="B355" s="20" t="s">
        <v>392</v>
      </c>
      <c r="C355" s="21">
        <v>10415</v>
      </c>
      <c r="D355" s="21">
        <f>520.75+1041.5+1041.5</f>
        <v>2603.75</v>
      </c>
      <c r="E355" s="21">
        <f>1041.5</f>
        <v>1041.5</v>
      </c>
      <c r="F355" s="21">
        <f t="shared" si="8"/>
        <v>7811.25</v>
      </c>
      <c r="G355" s="20" t="s">
        <v>201</v>
      </c>
      <c r="H355" s="6"/>
      <c r="I355" s="6"/>
      <c r="J355" s="6"/>
      <c r="K355" s="7"/>
    </row>
    <row r="356" spans="1:11" s="11" customFormat="1">
      <c r="A356" s="20" t="s">
        <v>393</v>
      </c>
      <c r="B356" s="20" t="s">
        <v>394</v>
      </c>
      <c r="C356" s="21">
        <v>11071.69</v>
      </c>
      <c r="D356" s="21">
        <f>1107.16+2214.33+2214.34</f>
        <v>5535.83</v>
      </c>
      <c r="E356" s="21">
        <f>2214.34</f>
        <v>2214.34</v>
      </c>
      <c r="F356" s="21">
        <f t="shared" si="8"/>
        <v>5535.8600000000006</v>
      </c>
      <c r="G356" s="20" t="s">
        <v>201</v>
      </c>
      <c r="H356" s="6"/>
      <c r="I356" s="6"/>
      <c r="J356" s="6"/>
      <c r="K356" s="7"/>
    </row>
    <row r="357" spans="1:11" s="11" customFormat="1">
      <c r="A357" s="20" t="s">
        <v>396</v>
      </c>
      <c r="B357" s="20" t="s">
        <v>397</v>
      </c>
      <c r="C357" s="21">
        <v>6044</v>
      </c>
      <c r="D357" s="21">
        <f>302.2+604.4+604.4</f>
        <v>1511</v>
      </c>
      <c r="E357" s="21">
        <f>604.4</f>
        <v>604.4</v>
      </c>
      <c r="F357" s="21">
        <f t="shared" si="8"/>
        <v>4533</v>
      </c>
      <c r="G357" s="20" t="s">
        <v>201</v>
      </c>
      <c r="H357" s="6"/>
      <c r="I357" s="6"/>
      <c r="J357" s="6"/>
      <c r="K357" s="7"/>
    </row>
    <row r="358" spans="1:11" s="11" customFormat="1">
      <c r="A358" s="20" t="s">
        <v>387</v>
      </c>
      <c r="B358" s="20" t="s">
        <v>388</v>
      </c>
      <c r="C358" s="21">
        <v>90948.76</v>
      </c>
      <c r="D358" s="21">
        <f>11368.59+22737.19+22737.19</f>
        <v>56842.97</v>
      </c>
      <c r="E358" s="21">
        <f>22737.19</f>
        <v>22737.19</v>
      </c>
      <c r="F358" s="21">
        <f t="shared" si="8"/>
        <v>34105.789999999994</v>
      </c>
      <c r="G358" s="20" t="s">
        <v>201</v>
      </c>
      <c r="H358" s="6"/>
      <c r="I358" s="6"/>
      <c r="J358" s="6"/>
      <c r="K358" s="7"/>
    </row>
    <row r="359" spans="1:11" s="11" customFormat="1">
      <c r="A359" s="20" t="s">
        <v>395</v>
      </c>
      <c r="B359" s="20" t="s">
        <v>320</v>
      </c>
      <c r="C359" s="21">
        <v>6585.44</v>
      </c>
      <c r="D359" s="21">
        <f>658.54+1317.08+1317.09</f>
        <v>3292.71</v>
      </c>
      <c r="E359" s="21">
        <f>1317.09</f>
        <v>1317.09</v>
      </c>
      <c r="F359" s="21">
        <f t="shared" si="8"/>
        <v>3292.7299999999996</v>
      </c>
      <c r="G359" s="20" t="s">
        <v>201</v>
      </c>
      <c r="H359" s="6"/>
      <c r="I359" s="6"/>
      <c r="J359" s="6"/>
      <c r="K359" s="7"/>
    </row>
    <row r="360" spans="1:11" s="11" customFormat="1">
      <c r="A360" s="20" t="s">
        <v>802</v>
      </c>
      <c r="B360" s="20" t="s">
        <v>803</v>
      </c>
      <c r="C360" s="21">
        <f>26985</f>
        <v>26985</v>
      </c>
      <c r="D360" s="21">
        <f>674.62+1349.25</f>
        <v>2023.87</v>
      </c>
      <c r="E360" s="21">
        <f>1349.25</f>
        <v>1349.25</v>
      </c>
      <c r="F360" s="21">
        <f t="shared" si="8"/>
        <v>24961.13</v>
      </c>
      <c r="G360" s="20" t="s">
        <v>201</v>
      </c>
      <c r="H360" s="6"/>
      <c r="I360" s="6"/>
      <c r="J360" s="6"/>
      <c r="K360" s="7"/>
    </row>
    <row r="361" spans="1:11" s="11" customFormat="1">
      <c r="A361" s="20" t="s">
        <v>796</v>
      </c>
      <c r="B361" s="20" t="s">
        <v>797</v>
      </c>
      <c r="C361" s="21">
        <f>6462.43</f>
        <v>6462.43</v>
      </c>
      <c r="D361" s="21">
        <f>646.24+1292.48</f>
        <v>1938.72</v>
      </c>
      <c r="E361" s="21">
        <f>1292.48</f>
        <v>1292.48</v>
      </c>
      <c r="F361" s="21">
        <f t="shared" si="8"/>
        <v>4523.71</v>
      </c>
      <c r="G361" s="20" t="s">
        <v>201</v>
      </c>
      <c r="H361" s="6"/>
      <c r="I361" s="6"/>
      <c r="J361" s="6"/>
      <c r="K361" s="7"/>
    </row>
    <row r="362" spans="1:11" s="6" customFormat="1">
      <c r="A362" s="20" t="s">
        <v>806</v>
      </c>
      <c r="B362" s="20" t="s">
        <v>804</v>
      </c>
      <c r="C362" s="21">
        <f>22350</f>
        <v>22350</v>
      </c>
      <c r="D362" s="21">
        <f>1396.87+2793.75</f>
        <v>4190.62</v>
      </c>
      <c r="E362" s="21">
        <f>2793.75</f>
        <v>2793.75</v>
      </c>
      <c r="F362" s="21">
        <f t="shared" si="8"/>
        <v>18159.38</v>
      </c>
      <c r="G362" s="20" t="s">
        <v>201</v>
      </c>
      <c r="K362" s="7"/>
    </row>
    <row r="363" spans="1:11" s="6" customFormat="1">
      <c r="A363" s="20" t="s">
        <v>808</v>
      </c>
      <c r="B363" s="20" t="s">
        <v>810</v>
      </c>
      <c r="C363" s="21">
        <f>8322.46</f>
        <v>8322.4599999999991</v>
      </c>
      <c r="D363" s="21">
        <f>416.12+832.24</f>
        <v>1248.3600000000001</v>
      </c>
      <c r="E363" s="21">
        <f>832.24</f>
        <v>832.24</v>
      </c>
      <c r="F363" s="21">
        <f t="shared" si="8"/>
        <v>7074.0999999999985</v>
      </c>
      <c r="G363" s="20" t="s">
        <v>201</v>
      </c>
      <c r="K363" s="7"/>
    </row>
    <row r="364" spans="1:11" s="6" customFormat="1">
      <c r="A364" s="20" t="s">
        <v>809</v>
      </c>
      <c r="B364" s="20" t="s">
        <v>811</v>
      </c>
      <c r="C364" s="21">
        <f>5871.09</f>
        <v>5871.09</v>
      </c>
      <c r="D364" s="21">
        <f>293.55+587.1</f>
        <v>880.65000000000009</v>
      </c>
      <c r="E364" s="21">
        <f>587.1</f>
        <v>587.1</v>
      </c>
      <c r="F364" s="21">
        <f t="shared" si="8"/>
        <v>4990.4400000000005</v>
      </c>
      <c r="G364" s="20" t="s">
        <v>201</v>
      </c>
      <c r="K364" s="7"/>
    </row>
    <row r="365" spans="1:11" s="6" customFormat="1">
      <c r="A365" s="22" t="s">
        <v>434</v>
      </c>
      <c r="B365" s="22" t="s">
        <v>435</v>
      </c>
      <c r="C365" s="23">
        <v>944679.98</v>
      </c>
      <c r="D365" s="23">
        <f>812424.74+37787.21+37787.21+37787.21</f>
        <v>925786.36999999988</v>
      </c>
      <c r="E365" s="23">
        <v>37787.21</v>
      </c>
      <c r="F365" s="23">
        <f t="shared" si="8"/>
        <v>18893.610000000102</v>
      </c>
      <c r="G365" s="22" t="s">
        <v>417</v>
      </c>
      <c r="H365" s="11"/>
      <c r="I365" s="11"/>
      <c r="J365" s="11"/>
      <c r="K365" s="7"/>
    </row>
    <row r="366" spans="1:11" s="6" customFormat="1">
      <c r="A366" s="22" t="s">
        <v>436</v>
      </c>
      <c r="B366" s="22" t="s">
        <v>437</v>
      </c>
      <c r="C366" s="23">
        <v>453159.2</v>
      </c>
      <c r="D366" s="23">
        <f>389716.9+18126.37+18126.37+18126.37</f>
        <v>444096.01</v>
      </c>
      <c r="E366" s="23">
        <v>18126.37</v>
      </c>
      <c r="F366" s="23">
        <f t="shared" si="8"/>
        <v>9063.1900000000023</v>
      </c>
      <c r="G366" s="22" t="s">
        <v>417</v>
      </c>
      <c r="H366" s="11"/>
      <c r="I366" s="11"/>
      <c r="J366" s="11"/>
      <c r="K366" s="7"/>
    </row>
    <row r="367" spans="1:11" s="6" customFormat="1">
      <c r="A367" s="22" t="s">
        <v>438</v>
      </c>
      <c r="B367" s="22" t="s">
        <v>439</v>
      </c>
      <c r="C367" s="23">
        <v>231718.74</v>
      </c>
      <c r="D367" s="23">
        <f>190009.32+9268.76+9268.76+9268.76</f>
        <v>217815.60000000003</v>
      </c>
      <c r="E367" s="23">
        <v>9268.76</v>
      </c>
      <c r="F367" s="23">
        <f t="shared" si="8"/>
        <v>13903.139999999956</v>
      </c>
      <c r="G367" s="22" t="s">
        <v>417</v>
      </c>
      <c r="H367" s="11"/>
      <c r="I367" s="11"/>
      <c r="J367" s="11"/>
      <c r="K367" s="7"/>
    </row>
    <row r="368" spans="1:11" s="6" customFormat="1">
      <c r="A368" s="22" t="s">
        <v>440</v>
      </c>
      <c r="B368" s="22" t="s">
        <v>441</v>
      </c>
      <c r="C368" s="23">
        <v>1862431.18</v>
      </c>
      <c r="D368" s="23">
        <f>1512928.1+77667.35+77667.35+77667.35</f>
        <v>1745930.1500000004</v>
      </c>
      <c r="E368" s="23">
        <v>77667.350000000006</v>
      </c>
      <c r="F368" s="23">
        <f t="shared" si="8"/>
        <v>116501.02999999956</v>
      </c>
      <c r="G368" s="22" t="s">
        <v>417</v>
      </c>
      <c r="H368" s="11"/>
      <c r="I368" s="11"/>
      <c r="J368" s="11"/>
      <c r="K368" s="7"/>
    </row>
    <row r="369" spans="1:11" s="6" customFormat="1">
      <c r="A369" s="22" t="s">
        <v>442</v>
      </c>
      <c r="B369" s="22" t="s">
        <v>443</v>
      </c>
      <c r="C369" s="23">
        <v>72333.06</v>
      </c>
      <c r="D369" s="23">
        <f>53526.42+2893.32+2893.33+2893.33</f>
        <v>62206.400000000001</v>
      </c>
      <c r="E369" s="23">
        <v>2893.33</v>
      </c>
      <c r="F369" s="23">
        <f t="shared" si="8"/>
        <v>10126.659999999996</v>
      </c>
      <c r="G369" s="22" t="s">
        <v>417</v>
      </c>
      <c r="H369" s="11"/>
      <c r="I369" s="11"/>
      <c r="J369" s="11"/>
      <c r="K369" s="7"/>
    </row>
    <row r="370" spans="1:11" s="6" customFormat="1">
      <c r="A370" s="22" t="s">
        <v>469</v>
      </c>
      <c r="B370" s="22" t="s">
        <v>470</v>
      </c>
      <c r="C370" s="23">
        <v>19136.21</v>
      </c>
      <c r="D370" s="23">
        <f>382.72+765.44+765.44</f>
        <v>1913.6000000000001</v>
      </c>
      <c r="E370" s="23">
        <f>765.44</f>
        <v>765.44</v>
      </c>
      <c r="F370" s="23">
        <f t="shared" si="8"/>
        <v>17222.61</v>
      </c>
      <c r="G370" s="22" t="s">
        <v>417</v>
      </c>
      <c r="H370" s="11"/>
      <c r="I370" s="11"/>
      <c r="J370" s="11"/>
      <c r="K370" s="7"/>
    </row>
    <row r="371" spans="1:11" s="6" customFormat="1">
      <c r="A371" s="22" t="s">
        <v>444</v>
      </c>
      <c r="B371" s="22" t="s">
        <v>445</v>
      </c>
      <c r="C371" s="23">
        <v>439036.04</v>
      </c>
      <c r="D371" s="23">
        <f>377570.96+17561.45+17561.45+17561.45</f>
        <v>430255.31000000006</v>
      </c>
      <c r="E371" s="23">
        <v>17561.45</v>
      </c>
      <c r="F371" s="23">
        <f t="shared" si="8"/>
        <v>8780.7299999999232</v>
      </c>
      <c r="G371" s="22" t="s">
        <v>417</v>
      </c>
      <c r="H371" s="11"/>
      <c r="I371" s="11"/>
      <c r="J371" s="11"/>
      <c r="K371" s="7"/>
    </row>
    <row r="372" spans="1:11" s="6" customFormat="1">
      <c r="A372" s="22" t="s">
        <v>446</v>
      </c>
      <c r="B372" s="22" t="s">
        <v>119</v>
      </c>
      <c r="C372" s="23">
        <v>31777.919999999998</v>
      </c>
      <c r="D372" s="23">
        <f>26057.84+1271.12+1271.13+1271.13</f>
        <v>29871.22</v>
      </c>
      <c r="E372" s="23">
        <v>1271.1300000000001</v>
      </c>
      <c r="F372" s="23">
        <f t="shared" si="8"/>
        <v>1906.6999999999971</v>
      </c>
      <c r="G372" s="22" t="s">
        <v>417</v>
      </c>
      <c r="H372" s="11"/>
      <c r="I372" s="11"/>
      <c r="J372" s="11"/>
      <c r="K372" s="7"/>
    </row>
    <row r="373" spans="1:11" s="6" customFormat="1">
      <c r="A373" s="22" t="s">
        <v>447</v>
      </c>
      <c r="B373" s="22" t="s">
        <v>121</v>
      </c>
      <c r="C373" s="23">
        <v>19435</v>
      </c>
      <c r="D373" s="23">
        <f>15159.28+777.4+777.4+777.4</f>
        <v>17491.480000000003</v>
      </c>
      <c r="E373" s="23">
        <v>777.4</v>
      </c>
      <c r="F373" s="23">
        <f t="shared" si="8"/>
        <v>1943.5199999999968</v>
      </c>
      <c r="G373" s="22" t="s">
        <v>417</v>
      </c>
      <c r="H373" s="11"/>
      <c r="I373" s="11"/>
      <c r="J373" s="11"/>
      <c r="K373" s="7"/>
    </row>
    <row r="374" spans="1:11" s="6" customFormat="1">
      <c r="A374" s="22" t="s">
        <v>448</v>
      </c>
      <c r="B374" s="22" t="s">
        <v>449</v>
      </c>
      <c r="C374" s="23">
        <v>1157.02</v>
      </c>
      <c r="D374" s="23">
        <f>856.18+46.28+46.28+46.28</f>
        <v>995.01999999999987</v>
      </c>
      <c r="E374" s="23">
        <v>46.28</v>
      </c>
      <c r="F374" s="23">
        <f t="shared" si="8"/>
        <v>162.00000000000011</v>
      </c>
      <c r="G374" s="22" t="s">
        <v>417</v>
      </c>
      <c r="H374" s="11"/>
      <c r="I374" s="11"/>
      <c r="J374" s="11"/>
      <c r="K374" s="7"/>
    </row>
    <row r="375" spans="1:11" s="6" customFormat="1">
      <c r="A375" s="22" t="s">
        <v>450</v>
      </c>
      <c r="B375" s="22" t="s">
        <v>451</v>
      </c>
      <c r="C375" s="23">
        <v>89979.01</v>
      </c>
      <c r="D375" s="23">
        <f>62985.3+3599.16+3599.16+3599.16</f>
        <v>73782.780000000013</v>
      </c>
      <c r="E375" s="23">
        <v>3599.16</v>
      </c>
      <c r="F375" s="23">
        <f t="shared" si="8"/>
        <v>16196.229999999981</v>
      </c>
      <c r="G375" s="22" t="s">
        <v>417</v>
      </c>
      <c r="H375" s="11"/>
      <c r="I375" s="11"/>
      <c r="J375" s="11"/>
      <c r="K375" s="7"/>
    </row>
    <row r="376" spans="1:11" s="6" customFormat="1">
      <c r="A376" s="22" t="s">
        <v>452</v>
      </c>
      <c r="B376" s="22" t="s">
        <v>453</v>
      </c>
      <c r="C376" s="23">
        <v>5667.01</v>
      </c>
      <c r="D376" s="23">
        <f>3740.22+226.68+226.68+226.68</f>
        <v>4420.26</v>
      </c>
      <c r="E376" s="23">
        <v>226.68</v>
      </c>
      <c r="F376" s="23">
        <f t="shared" si="8"/>
        <v>1246.75</v>
      </c>
      <c r="G376" s="22" t="s">
        <v>417</v>
      </c>
      <c r="H376" s="11"/>
      <c r="I376" s="11"/>
      <c r="J376" s="11"/>
      <c r="K376" s="7"/>
    </row>
    <row r="377" spans="1:11" s="6" customFormat="1">
      <c r="A377" s="22" t="s">
        <v>398</v>
      </c>
      <c r="B377" s="22" t="s">
        <v>399</v>
      </c>
      <c r="C377" s="23">
        <v>731586.26</v>
      </c>
      <c r="D377" s="23">
        <f>14631.73+29263.45</f>
        <v>43895.18</v>
      </c>
      <c r="E377" s="23">
        <f>29263.45</f>
        <v>29263.45</v>
      </c>
      <c r="F377" s="23">
        <f t="shared" si="8"/>
        <v>687691.08</v>
      </c>
      <c r="G377" s="22" t="s">
        <v>417</v>
      </c>
      <c r="H377" s="11"/>
      <c r="I377" s="11"/>
      <c r="J377" s="11"/>
      <c r="K377" s="7"/>
    </row>
    <row r="378" spans="1:11" s="6" customFormat="1">
      <c r="A378" s="22" t="s">
        <v>415</v>
      </c>
      <c r="B378" s="22" t="s">
        <v>416</v>
      </c>
      <c r="C378" s="23">
        <v>9500</v>
      </c>
      <c r="D378" s="23">
        <v>0</v>
      </c>
      <c r="E378" s="23">
        <v>0</v>
      </c>
      <c r="F378" s="23">
        <f t="shared" si="8"/>
        <v>9500</v>
      </c>
      <c r="G378" s="22" t="s">
        <v>417</v>
      </c>
      <c r="H378" s="11"/>
      <c r="I378" s="11"/>
      <c r="J378" s="11"/>
      <c r="K378" s="7"/>
    </row>
    <row r="379" spans="1:11" s="6" customFormat="1">
      <c r="A379" s="22" t="s">
        <v>418</v>
      </c>
      <c r="B379" s="22" t="s">
        <v>419</v>
      </c>
      <c r="C379" s="23">
        <v>45950</v>
      </c>
      <c r="D379" s="23">
        <v>0</v>
      </c>
      <c r="E379" s="23">
        <v>0</v>
      </c>
      <c r="F379" s="23">
        <f t="shared" si="8"/>
        <v>45950</v>
      </c>
      <c r="G379" s="22" t="s">
        <v>417</v>
      </c>
      <c r="H379" s="11"/>
      <c r="I379" s="11"/>
      <c r="J379" s="11"/>
      <c r="K379" s="7"/>
    </row>
    <row r="380" spans="1:11" s="6" customFormat="1">
      <c r="A380" s="22" t="s">
        <v>401</v>
      </c>
      <c r="B380" s="22" t="s">
        <v>402</v>
      </c>
      <c r="C380" s="23">
        <v>2359209.1</v>
      </c>
      <c r="D380" s="23">
        <f>47184.18+94368.36</f>
        <v>141552.54</v>
      </c>
      <c r="E380" s="23">
        <f>94368.36</f>
        <v>94368.36</v>
      </c>
      <c r="F380" s="23">
        <f t="shared" si="8"/>
        <v>2217656.56</v>
      </c>
      <c r="G380" s="22" t="s">
        <v>417</v>
      </c>
      <c r="H380" s="11"/>
      <c r="I380" s="11"/>
      <c r="J380" s="11"/>
      <c r="K380" s="7"/>
    </row>
    <row r="381" spans="1:11" s="6" customFormat="1">
      <c r="A381" s="22" t="s">
        <v>454</v>
      </c>
      <c r="B381" s="22" t="s">
        <v>455</v>
      </c>
      <c r="C381" s="23">
        <v>1404874</v>
      </c>
      <c r="D381" s="23">
        <f>309072.27+56194.96+56194.96+56194.96</f>
        <v>477657.15000000008</v>
      </c>
      <c r="E381" s="23">
        <v>56194.96</v>
      </c>
      <c r="F381" s="23">
        <f t="shared" si="8"/>
        <v>927216.84999999986</v>
      </c>
      <c r="G381" s="22" t="s">
        <v>417</v>
      </c>
      <c r="H381" s="11"/>
      <c r="I381" s="11"/>
      <c r="J381" s="11"/>
      <c r="K381" s="7"/>
    </row>
    <row r="382" spans="1:11" s="6" customFormat="1">
      <c r="A382" s="22" t="s">
        <v>456</v>
      </c>
      <c r="B382" s="22" t="s">
        <v>455</v>
      </c>
      <c r="C382" s="23">
        <v>1434834</v>
      </c>
      <c r="D382" s="23">
        <f>315663.48+57393.36+57393.36+57393.36</f>
        <v>487843.55999999994</v>
      </c>
      <c r="E382" s="23">
        <v>57393.36</v>
      </c>
      <c r="F382" s="23">
        <f t="shared" si="8"/>
        <v>946990.44000000006</v>
      </c>
      <c r="G382" s="22" t="s">
        <v>417</v>
      </c>
      <c r="H382" s="11"/>
      <c r="I382" s="11"/>
      <c r="J382" s="11"/>
      <c r="K382" s="7"/>
    </row>
    <row r="383" spans="1:11" s="6" customFormat="1">
      <c r="A383" s="22" t="s">
        <v>457</v>
      </c>
      <c r="B383" s="22" t="s">
        <v>458</v>
      </c>
      <c r="C383" s="23">
        <v>931186.41</v>
      </c>
      <c r="D383" s="23">
        <f>204860.97+37247.45+37247.45+37247.46</f>
        <v>316603.33</v>
      </c>
      <c r="E383" s="23">
        <v>37247.46</v>
      </c>
      <c r="F383" s="23">
        <f t="shared" si="8"/>
        <v>614583.08000000007</v>
      </c>
      <c r="G383" s="22" t="s">
        <v>417</v>
      </c>
      <c r="H383" s="11"/>
      <c r="I383" s="11"/>
      <c r="J383" s="11"/>
      <c r="K383" s="7"/>
    </row>
    <row r="384" spans="1:11" s="6" customFormat="1">
      <c r="A384" s="22" t="s">
        <v>459</v>
      </c>
      <c r="B384" s="22" t="s">
        <v>460</v>
      </c>
      <c r="C384" s="23">
        <v>487407.56</v>
      </c>
      <c r="D384" s="23">
        <f>107229.65+19496.3+19496.3+19496.3</f>
        <v>165718.54999999999</v>
      </c>
      <c r="E384" s="23">
        <v>19496.3</v>
      </c>
      <c r="F384" s="23">
        <f t="shared" ref="F384:F403" si="9">+C384-D384</f>
        <v>321689.01</v>
      </c>
      <c r="G384" s="22" t="s">
        <v>417</v>
      </c>
      <c r="H384" s="11"/>
      <c r="I384" s="11"/>
      <c r="J384" s="11"/>
      <c r="K384" s="7"/>
    </row>
    <row r="385" spans="1:11" s="6" customFormat="1">
      <c r="A385" s="22" t="s">
        <v>420</v>
      </c>
      <c r="B385" s="22" t="s">
        <v>421</v>
      </c>
      <c r="C385" s="23">
        <v>31200</v>
      </c>
      <c r="D385" s="23">
        <v>0</v>
      </c>
      <c r="E385" s="23">
        <v>0</v>
      </c>
      <c r="F385" s="23">
        <f t="shared" si="9"/>
        <v>31200</v>
      </c>
      <c r="G385" s="22" t="s">
        <v>417</v>
      </c>
      <c r="H385" s="11"/>
      <c r="I385" s="11"/>
      <c r="J385" s="11"/>
      <c r="K385" s="7"/>
    </row>
    <row r="386" spans="1:11" s="6" customFormat="1">
      <c r="A386" s="22" t="s">
        <v>403</v>
      </c>
      <c r="B386" s="22" t="s">
        <v>404</v>
      </c>
      <c r="C386" s="23">
        <v>5676552.4900000002</v>
      </c>
      <c r="D386" s="23">
        <f>113531.05+227062.09</f>
        <v>340593.14</v>
      </c>
      <c r="E386" s="23">
        <f>227062.09</f>
        <v>227062.09</v>
      </c>
      <c r="F386" s="23">
        <f t="shared" si="9"/>
        <v>5335959.3500000006</v>
      </c>
      <c r="G386" s="22" t="s">
        <v>417</v>
      </c>
      <c r="H386" s="11"/>
      <c r="I386" s="11"/>
      <c r="J386" s="11"/>
      <c r="K386" s="7"/>
    </row>
    <row r="387" spans="1:11" s="6" customFormat="1">
      <c r="A387" s="22" t="s">
        <v>461</v>
      </c>
      <c r="B387" s="22" t="s">
        <v>462</v>
      </c>
      <c r="C387" s="23">
        <v>867764.23</v>
      </c>
      <c r="D387" s="23">
        <f>190908.12+34710.57+34710.57+34710.57</f>
        <v>295039.83</v>
      </c>
      <c r="E387" s="23">
        <v>34710.57</v>
      </c>
      <c r="F387" s="23">
        <f t="shared" si="9"/>
        <v>572724.39999999991</v>
      </c>
      <c r="G387" s="22" t="s">
        <v>417</v>
      </c>
      <c r="H387" s="11"/>
      <c r="I387" s="11"/>
      <c r="J387" s="11"/>
      <c r="K387" s="7"/>
    </row>
    <row r="388" spans="1:11" s="6" customFormat="1">
      <c r="A388" s="22" t="s">
        <v>422</v>
      </c>
      <c r="B388" s="22" t="s">
        <v>423</v>
      </c>
      <c r="C388" s="23">
        <v>253967.25</v>
      </c>
      <c r="D388" s="23">
        <v>0</v>
      </c>
      <c r="E388" s="23">
        <v>0</v>
      </c>
      <c r="F388" s="23">
        <f t="shared" si="9"/>
        <v>253967.25</v>
      </c>
      <c r="G388" s="22" t="s">
        <v>417</v>
      </c>
      <c r="H388" s="11"/>
      <c r="I388" s="11"/>
      <c r="J388" s="11"/>
      <c r="K388" s="7"/>
    </row>
    <row r="389" spans="1:11" s="6" customFormat="1">
      <c r="A389" s="22" t="s">
        <v>424</v>
      </c>
      <c r="B389" s="22" t="s">
        <v>425</v>
      </c>
      <c r="C389" s="23">
        <v>18250</v>
      </c>
      <c r="D389" s="23">
        <v>0</v>
      </c>
      <c r="E389" s="23">
        <v>0</v>
      </c>
      <c r="F389" s="23">
        <f t="shared" si="9"/>
        <v>18250</v>
      </c>
      <c r="G389" s="22" t="s">
        <v>417</v>
      </c>
      <c r="H389" s="11"/>
      <c r="I389" s="11"/>
      <c r="J389" s="11"/>
      <c r="K389" s="7"/>
    </row>
    <row r="390" spans="1:11" s="6" customFormat="1">
      <c r="A390" s="22" t="s">
        <v>405</v>
      </c>
      <c r="B390" s="22" t="s">
        <v>406</v>
      </c>
      <c r="C390" s="23">
        <v>189995.23</v>
      </c>
      <c r="D390" s="23">
        <f>3799.9+7599.8</f>
        <v>11399.7</v>
      </c>
      <c r="E390" s="23">
        <f>7599.8</f>
        <v>7599.8</v>
      </c>
      <c r="F390" s="23">
        <f t="shared" si="9"/>
        <v>178595.53</v>
      </c>
      <c r="G390" s="22" t="s">
        <v>417</v>
      </c>
      <c r="H390" s="11"/>
      <c r="I390" s="11"/>
      <c r="J390" s="11"/>
      <c r="K390" s="7"/>
    </row>
    <row r="391" spans="1:11" s="6" customFormat="1">
      <c r="A391" s="22" t="s">
        <v>426</v>
      </c>
      <c r="B391" s="22" t="s">
        <v>427</v>
      </c>
      <c r="C391" s="23">
        <v>81584</v>
      </c>
      <c r="D391" s="23">
        <v>0</v>
      </c>
      <c r="E391" s="23">
        <v>0</v>
      </c>
      <c r="F391" s="23">
        <f t="shared" si="9"/>
        <v>81584</v>
      </c>
      <c r="G391" s="22" t="s">
        <v>417</v>
      </c>
      <c r="H391" s="11"/>
      <c r="I391" s="11"/>
      <c r="J391" s="11"/>
      <c r="K391" s="7"/>
    </row>
    <row r="392" spans="1:11" s="6" customFormat="1">
      <c r="A392" s="22" t="s">
        <v>407</v>
      </c>
      <c r="B392" s="22" t="s">
        <v>408</v>
      </c>
      <c r="C392" s="23">
        <v>398201.46</v>
      </c>
      <c r="D392" s="23">
        <f>7964.03+15928.05</f>
        <v>23892.079999999998</v>
      </c>
      <c r="E392" s="23">
        <f>15928.05</f>
        <v>15928.05</v>
      </c>
      <c r="F392" s="23">
        <f t="shared" si="9"/>
        <v>374309.38</v>
      </c>
      <c r="G392" s="22" t="s">
        <v>417</v>
      </c>
      <c r="H392" s="11"/>
      <c r="I392" s="11"/>
      <c r="J392" s="11"/>
      <c r="K392" s="7"/>
    </row>
    <row r="393" spans="1:11" s="6" customFormat="1">
      <c r="A393" s="22" t="s">
        <v>428</v>
      </c>
      <c r="B393" s="22" t="s">
        <v>429</v>
      </c>
      <c r="C393" s="23">
        <v>60116</v>
      </c>
      <c r="D393" s="23">
        <v>0</v>
      </c>
      <c r="E393" s="23">
        <v>0</v>
      </c>
      <c r="F393" s="23">
        <f t="shared" si="9"/>
        <v>60116</v>
      </c>
      <c r="G393" s="22" t="s">
        <v>417</v>
      </c>
      <c r="H393" s="11"/>
      <c r="I393" s="11"/>
      <c r="J393" s="11"/>
      <c r="K393" s="7"/>
    </row>
    <row r="394" spans="1:11" s="6" customFormat="1">
      <c r="A394" s="22" t="s">
        <v>409</v>
      </c>
      <c r="B394" s="22" t="s">
        <v>410</v>
      </c>
      <c r="C394" s="23">
        <v>127019.79</v>
      </c>
      <c r="D394" s="23">
        <f>2540.4+5080.79</f>
        <v>7621.1900000000005</v>
      </c>
      <c r="E394" s="23">
        <f>5080.79</f>
        <v>5080.79</v>
      </c>
      <c r="F394" s="23">
        <f t="shared" si="9"/>
        <v>119398.59999999999</v>
      </c>
      <c r="G394" s="22" t="s">
        <v>417</v>
      </c>
      <c r="H394" s="11"/>
      <c r="I394" s="11"/>
      <c r="J394" s="11"/>
      <c r="K394" s="7"/>
    </row>
    <row r="395" spans="1:11" s="6" customFormat="1">
      <c r="A395" s="22" t="s">
        <v>430</v>
      </c>
      <c r="B395" s="22" t="s">
        <v>431</v>
      </c>
      <c r="C395" s="23">
        <v>63865</v>
      </c>
      <c r="D395" s="23">
        <v>0</v>
      </c>
      <c r="E395" s="23">
        <v>0</v>
      </c>
      <c r="F395" s="23">
        <f t="shared" si="9"/>
        <v>63865</v>
      </c>
      <c r="G395" s="22" t="s">
        <v>417</v>
      </c>
      <c r="H395" s="11"/>
      <c r="I395" s="11"/>
      <c r="J395" s="11"/>
      <c r="K395" s="7"/>
    </row>
    <row r="396" spans="1:11" s="6" customFormat="1">
      <c r="A396" s="22" t="s">
        <v>411</v>
      </c>
      <c r="B396" s="22" t="s">
        <v>412</v>
      </c>
      <c r="C396" s="23">
        <v>379613.27</v>
      </c>
      <c r="D396" s="23">
        <f>7592.27+15184.53</f>
        <v>22776.800000000003</v>
      </c>
      <c r="E396" s="23">
        <f>15184.53</f>
        <v>15184.53</v>
      </c>
      <c r="F396" s="23">
        <f t="shared" si="9"/>
        <v>356836.47000000003</v>
      </c>
      <c r="G396" s="22" t="s">
        <v>417</v>
      </c>
      <c r="H396" s="11"/>
      <c r="I396" s="11"/>
      <c r="J396" s="11"/>
      <c r="K396" s="7"/>
    </row>
    <row r="397" spans="1:11" s="6" customFormat="1">
      <c r="A397" s="22" t="s">
        <v>467</v>
      </c>
      <c r="B397" s="22" t="s">
        <v>468</v>
      </c>
      <c r="C397" s="23">
        <v>12269</v>
      </c>
      <c r="D397" s="23">
        <v>0</v>
      </c>
      <c r="E397" s="23">
        <v>0</v>
      </c>
      <c r="F397" s="23">
        <f t="shared" si="9"/>
        <v>12269</v>
      </c>
      <c r="G397" s="22" t="s">
        <v>417</v>
      </c>
      <c r="H397" s="11"/>
      <c r="I397" s="11"/>
      <c r="J397" s="11"/>
      <c r="K397" s="7"/>
    </row>
    <row r="398" spans="1:11" s="6" customFormat="1">
      <c r="A398" s="22" t="s">
        <v>413</v>
      </c>
      <c r="B398" s="22" t="s">
        <v>414</v>
      </c>
      <c r="C398" s="23">
        <v>6230239.4800000004</v>
      </c>
      <c r="D398" s="23">
        <f>124604.79+249209.57</f>
        <v>373814.36</v>
      </c>
      <c r="E398" s="23">
        <f>249209.57</f>
        <v>249209.57</v>
      </c>
      <c r="F398" s="23">
        <f t="shared" si="9"/>
        <v>5856425.1200000001</v>
      </c>
      <c r="G398" s="22" t="s">
        <v>417</v>
      </c>
      <c r="H398" s="11"/>
      <c r="I398" s="11"/>
      <c r="J398" s="11"/>
      <c r="K398" s="7"/>
    </row>
    <row r="399" spans="1:11" s="6" customFormat="1">
      <c r="A399" s="22" t="s">
        <v>798</v>
      </c>
      <c r="B399" s="22" t="s">
        <v>799</v>
      </c>
      <c r="C399" s="23">
        <f>23115.17</f>
        <v>23115.17</v>
      </c>
      <c r="D399" s="23">
        <v>0</v>
      </c>
      <c r="E399" s="23">
        <v>0</v>
      </c>
      <c r="F399" s="23">
        <f t="shared" si="9"/>
        <v>23115.17</v>
      </c>
      <c r="G399" s="22" t="s">
        <v>417</v>
      </c>
      <c r="K399" s="7"/>
    </row>
    <row r="400" spans="1:11" s="6" customFormat="1">
      <c r="A400" s="22" t="s">
        <v>815</v>
      </c>
      <c r="B400" s="22" t="s">
        <v>816</v>
      </c>
      <c r="C400" s="23">
        <f>4019512.78</f>
        <v>4019512.78</v>
      </c>
      <c r="D400" s="23">
        <f>80390.26+160780.51</f>
        <v>241170.77000000002</v>
      </c>
      <c r="E400" s="23">
        <f>160780.51</f>
        <v>160780.51</v>
      </c>
      <c r="F400" s="23">
        <f t="shared" si="9"/>
        <v>3778342.01</v>
      </c>
      <c r="G400" s="22" t="s">
        <v>417</v>
      </c>
      <c r="K400" s="7"/>
    </row>
    <row r="401" spans="1:11" s="6" customFormat="1">
      <c r="A401" s="22" t="s">
        <v>463</v>
      </c>
      <c r="B401" s="22" t="s">
        <v>464</v>
      </c>
      <c r="C401" s="23">
        <v>2334309.19</v>
      </c>
      <c r="D401" s="23">
        <f>140058.54+93372.36+93372.36+93372.36</f>
        <v>420175.62</v>
      </c>
      <c r="E401" s="23">
        <v>93372.36</v>
      </c>
      <c r="F401" s="23">
        <f t="shared" si="9"/>
        <v>1914133.5699999998</v>
      </c>
      <c r="G401" s="22" t="s">
        <v>417</v>
      </c>
      <c r="H401" s="11"/>
      <c r="I401" s="11"/>
      <c r="J401" s="11"/>
      <c r="K401" s="7"/>
    </row>
    <row r="402" spans="1:11" s="6" customFormat="1">
      <c r="A402" s="22" t="s">
        <v>465</v>
      </c>
      <c r="B402" s="22" t="s">
        <v>466</v>
      </c>
      <c r="C402" s="23">
        <v>1731332.98</v>
      </c>
      <c r="D402" s="23">
        <f>103879.97+69253.32+69253.32+69253.32</f>
        <v>311639.93000000005</v>
      </c>
      <c r="E402" s="23">
        <v>69253.320000000007</v>
      </c>
      <c r="F402" s="23">
        <f t="shared" si="9"/>
        <v>1419693.0499999998</v>
      </c>
      <c r="G402" s="22" t="s">
        <v>417</v>
      </c>
      <c r="H402" s="11"/>
      <c r="I402" s="11"/>
      <c r="J402" s="11"/>
      <c r="K402" s="7"/>
    </row>
    <row r="403" spans="1:11" s="6" customFormat="1">
      <c r="A403" s="22" t="s">
        <v>432</v>
      </c>
      <c r="B403" s="22" t="s">
        <v>433</v>
      </c>
      <c r="C403" s="23">
        <v>1055</v>
      </c>
      <c r="D403" s="23">
        <v>0</v>
      </c>
      <c r="E403" s="23">
        <v>0</v>
      </c>
      <c r="F403" s="23">
        <f t="shared" si="9"/>
        <v>1055</v>
      </c>
      <c r="G403" s="22" t="s">
        <v>417</v>
      </c>
      <c r="H403" s="11"/>
      <c r="I403" s="11"/>
      <c r="J403" s="11"/>
      <c r="K403" s="7"/>
    </row>
    <row r="404" spans="1:11" s="6" customFormat="1">
      <c r="A404" s="22" t="s">
        <v>844</v>
      </c>
      <c r="B404" s="24" t="s">
        <v>842</v>
      </c>
      <c r="C404" s="23">
        <f>74715.03</f>
        <v>74715.03</v>
      </c>
      <c r="D404" s="23">
        <f>1494.3</f>
        <v>1494.3</v>
      </c>
      <c r="E404" s="23">
        <f>1494.3</f>
        <v>1494.3</v>
      </c>
      <c r="F404" s="23">
        <f t="shared" ref="F404:F405" si="10">+C404-D404</f>
        <v>73220.73</v>
      </c>
      <c r="G404" s="22" t="s">
        <v>417</v>
      </c>
      <c r="H404" s="11" t="s">
        <v>848</v>
      </c>
      <c r="I404" s="11"/>
      <c r="J404" s="11"/>
      <c r="K404" s="7"/>
    </row>
    <row r="405" spans="1:11" s="6" customFormat="1">
      <c r="A405" s="22" t="s">
        <v>831</v>
      </c>
      <c r="B405" s="24" t="s">
        <v>824</v>
      </c>
      <c r="C405" s="40">
        <f>63126.64*0.5</f>
        <v>31563.32</v>
      </c>
      <c r="D405" s="23">
        <f>6312.66*0.5</f>
        <v>3156.33</v>
      </c>
      <c r="E405" s="23">
        <f>6312.66*0.5</f>
        <v>3156.33</v>
      </c>
      <c r="F405" s="23">
        <f t="shared" si="10"/>
        <v>28406.989999999998</v>
      </c>
      <c r="G405" s="22" t="s">
        <v>417</v>
      </c>
      <c r="H405" s="11"/>
      <c r="I405" s="11"/>
      <c r="J405" s="11"/>
      <c r="K405" s="7"/>
    </row>
    <row r="407" spans="1:11">
      <c r="C407" s="25">
        <f>SUM(C2:C406)</f>
        <v>192175221.36999977</v>
      </c>
      <c r="D407" s="25">
        <f>SUM(D2:D406)</f>
        <v>114605807.60000005</v>
      </c>
      <c r="E407" s="25">
        <f>SUM(E2:E406)</f>
        <v>4254184.2099999972</v>
      </c>
      <c r="F407" s="25">
        <f>SUM(F2:F406)</f>
        <v>77569413.769999966</v>
      </c>
      <c r="G407" s="6" t="s">
        <v>817</v>
      </c>
    </row>
    <row r="408" spans="1:11">
      <c r="A408" s="8" t="s">
        <v>818</v>
      </c>
      <c r="B408" s="26"/>
    </row>
    <row r="409" spans="1:11">
      <c r="A409" s="20" t="s">
        <v>218</v>
      </c>
      <c r="B409" s="20" t="s">
        <v>219</v>
      </c>
      <c r="C409" s="21"/>
      <c r="D409" s="21"/>
      <c r="E409" s="21">
        <v>0</v>
      </c>
      <c r="F409" s="21"/>
      <c r="G409" s="20"/>
    </row>
    <row r="410" spans="1:11">
      <c r="A410" s="20" t="s">
        <v>222</v>
      </c>
      <c r="B410" s="20" t="s">
        <v>223</v>
      </c>
      <c r="C410" s="21"/>
      <c r="D410" s="21"/>
      <c r="E410" s="21">
        <v>0</v>
      </c>
      <c r="F410" s="21"/>
      <c r="G410" s="20"/>
    </row>
    <row r="411" spans="1:11">
      <c r="A411" s="20" t="s">
        <v>234</v>
      </c>
      <c r="B411" s="20" t="s">
        <v>235</v>
      </c>
      <c r="C411" s="21"/>
      <c r="D411" s="21"/>
      <c r="E411" s="21">
        <v>0</v>
      </c>
      <c r="F411" s="21"/>
      <c r="G411" s="20"/>
    </row>
    <row r="412" spans="1:11">
      <c r="A412" s="20" t="s">
        <v>238</v>
      </c>
      <c r="B412" s="20" t="s">
        <v>239</v>
      </c>
      <c r="C412" s="21"/>
      <c r="D412" s="21"/>
      <c r="E412" s="21">
        <v>0</v>
      </c>
      <c r="F412" s="21"/>
      <c r="G412" s="20"/>
    </row>
    <row r="413" spans="1:11">
      <c r="A413" s="20" t="s">
        <v>240</v>
      </c>
      <c r="B413" s="20" t="s">
        <v>241</v>
      </c>
      <c r="C413" s="21"/>
      <c r="D413" s="21"/>
      <c r="E413" s="21">
        <v>0</v>
      </c>
      <c r="F413" s="21"/>
      <c r="G413" s="20"/>
    </row>
    <row r="414" spans="1:11">
      <c r="A414" s="20" t="s">
        <v>242</v>
      </c>
      <c r="B414" s="20" t="s">
        <v>243</v>
      </c>
      <c r="C414" s="21"/>
      <c r="D414" s="21"/>
      <c r="E414" s="21">
        <v>0</v>
      </c>
      <c r="F414" s="21"/>
      <c r="G414" s="20"/>
    </row>
    <row r="415" spans="1:11">
      <c r="A415" s="20" t="s">
        <v>244</v>
      </c>
      <c r="B415" s="20" t="s">
        <v>245</v>
      </c>
      <c r="C415" s="21"/>
      <c r="D415" s="21"/>
      <c r="E415" s="21">
        <v>0</v>
      </c>
      <c r="F415" s="21"/>
      <c r="G415" s="20"/>
    </row>
    <row r="416" spans="1:11">
      <c r="A416" s="16" t="s">
        <v>64</v>
      </c>
      <c r="B416" s="16" t="s">
        <v>65</v>
      </c>
      <c r="C416" s="27"/>
      <c r="D416" s="27"/>
      <c r="E416" s="27">
        <f>2866.55</f>
        <v>2866.55</v>
      </c>
      <c r="F416" s="27"/>
      <c r="G416" s="28"/>
    </row>
    <row r="417" spans="1:7">
      <c r="A417" s="16" t="s">
        <v>66</v>
      </c>
      <c r="B417" s="16" t="s">
        <v>67</v>
      </c>
      <c r="C417" s="27"/>
      <c r="D417" s="27"/>
      <c r="E417" s="27">
        <v>0</v>
      </c>
      <c r="F417" s="27"/>
      <c r="G417" s="28"/>
    </row>
    <row r="418" spans="1:7">
      <c r="A418" s="20" t="s">
        <v>358</v>
      </c>
      <c r="B418" s="20" t="s">
        <v>359</v>
      </c>
      <c r="C418" s="21"/>
      <c r="D418" s="21"/>
      <c r="E418" s="21">
        <v>0</v>
      </c>
      <c r="F418" s="21"/>
      <c r="G418" s="20"/>
    </row>
    <row r="419" spans="1:7">
      <c r="A419" s="20" t="s">
        <v>360</v>
      </c>
      <c r="B419" s="20" t="s">
        <v>361</v>
      </c>
      <c r="C419" s="21"/>
      <c r="D419" s="21"/>
      <c r="E419" s="21">
        <v>0</v>
      </c>
      <c r="F419" s="21"/>
      <c r="G419" s="20"/>
    </row>
    <row r="420" spans="1:7">
      <c r="A420" s="20" t="s">
        <v>362</v>
      </c>
      <c r="B420" s="20" t="s">
        <v>363</v>
      </c>
      <c r="C420" s="21"/>
      <c r="D420" s="21"/>
      <c r="E420" s="21">
        <v>0</v>
      </c>
      <c r="F420" s="21"/>
      <c r="G420" s="20"/>
    </row>
    <row r="421" spans="1:7">
      <c r="A421" s="20" t="s">
        <v>364</v>
      </c>
      <c r="B421" s="20" t="s">
        <v>359</v>
      </c>
      <c r="C421" s="21"/>
      <c r="D421" s="21"/>
      <c r="E421" s="21">
        <v>0</v>
      </c>
      <c r="F421" s="21"/>
      <c r="G421" s="20"/>
    </row>
    <row r="422" spans="1:7">
      <c r="A422" s="16" t="s">
        <v>132</v>
      </c>
      <c r="B422" s="16" t="s">
        <v>133</v>
      </c>
      <c r="C422" s="27"/>
      <c r="D422" s="27"/>
      <c r="E422" s="27">
        <f>109.94</f>
        <v>109.94</v>
      </c>
      <c r="F422" s="27"/>
      <c r="G422" s="28"/>
    </row>
    <row r="423" spans="1:7">
      <c r="A423" s="16" t="s">
        <v>170</v>
      </c>
      <c r="B423" s="16" t="s">
        <v>171</v>
      </c>
      <c r="C423" s="27"/>
      <c r="D423" s="27"/>
      <c r="E423" s="27">
        <f>362.34</f>
        <v>362.34</v>
      </c>
      <c r="F423" s="27"/>
      <c r="G423" s="28"/>
    </row>
    <row r="424" spans="1:7">
      <c r="A424" s="4" t="s">
        <v>197</v>
      </c>
      <c r="B424" s="4" t="s">
        <v>198</v>
      </c>
      <c r="C424" s="5"/>
      <c r="D424" s="5"/>
      <c r="E424" s="5">
        <v>0</v>
      </c>
      <c r="F424" s="5"/>
      <c r="G424" s="4"/>
    </row>
    <row r="425" spans="1:7">
      <c r="B425" s="29" t="s">
        <v>780</v>
      </c>
      <c r="C425" s="30">
        <f>2626863.14</f>
        <v>2626863.14</v>
      </c>
      <c r="D425" s="25">
        <f>1306837.24</f>
        <v>1306837.24</v>
      </c>
      <c r="E425" s="25">
        <f>145274.8</f>
        <v>145274.79999999999</v>
      </c>
      <c r="F425" s="25">
        <f>+C425-D425</f>
        <v>1320025.9000000001</v>
      </c>
    </row>
    <row r="426" spans="1:7" ht="14.4" thickBot="1">
      <c r="C426" s="31">
        <f>SUM(C407:C425)</f>
        <v>194802084.50999975</v>
      </c>
      <c r="D426" s="31">
        <f>SUM(D407:D425)</f>
        <v>115912644.84000005</v>
      </c>
      <c r="E426" s="31">
        <f>SUM(E407:E425)</f>
        <v>4402797.8399999971</v>
      </c>
      <c r="F426" s="31">
        <f>SUM(F407:F425)</f>
        <v>78889439.669999972</v>
      </c>
    </row>
    <row r="427" spans="1:7" ht="14.4" thickTop="1">
      <c r="C427" s="25">
        <f>192175221.37-C426</f>
        <v>-2626863.1399997473</v>
      </c>
      <c r="D427" s="25">
        <f>114605807.58-D426</f>
        <v>-1306837.2600000501</v>
      </c>
      <c r="E427" s="25">
        <f>4257523-E426</f>
        <v>-145274.83999999706</v>
      </c>
      <c r="F427" s="25">
        <f>77569413.79-F426</f>
        <v>-1320025.8799999654</v>
      </c>
    </row>
    <row r="428" spans="1:7">
      <c r="B428" s="26" t="s">
        <v>781</v>
      </c>
      <c r="C428" s="32">
        <f>SUMIFS($C$2:$C$424,$G$2:$G$424,"T")</f>
        <v>34181298.370000005</v>
      </c>
      <c r="D428" s="32">
        <f>SUMIFS($D$2:$D$424,$G$2:$G$424,"T")</f>
        <v>7640608.5600000005</v>
      </c>
      <c r="E428" s="32">
        <f>SUMIFS($E$2:$E$424,$G$2:$G$424,"T")</f>
        <v>1346786.6700000004</v>
      </c>
      <c r="F428" s="32">
        <f>SUMIFS($F$2:$F$424,$G$2:$G$424,"T")</f>
        <v>26540689.809999999</v>
      </c>
      <c r="G428" s="33">
        <f>+C428-D428-F428</f>
        <v>0</v>
      </c>
    </row>
    <row r="429" spans="1:7">
      <c r="B429" s="26" t="s">
        <v>782</v>
      </c>
      <c r="C429" s="32">
        <f>SUMIFS($C$2:$C$424,$G$2:$G$424,"D")</f>
        <v>30465627.589999996</v>
      </c>
      <c r="D429" s="32">
        <f>SUMIFS($D$2:$D$424,$G$2:$G$424,"D")</f>
        <v>12445476.880000001</v>
      </c>
      <c r="E429" s="32">
        <f>SUMIFS($E$2:$E$424,$G$2:$G$424,"d")</f>
        <v>1212089.939999999</v>
      </c>
      <c r="F429" s="32">
        <f>SUMIFS($F$2:$F$424,$G$2:$G$424,"d")</f>
        <v>18020150.709999997</v>
      </c>
      <c r="G429" s="33">
        <f t="shared" ref="G429:G435" si="11">+C429-D429-F429</f>
        <v>0</v>
      </c>
    </row>
    <row r="430" spans="1:7">
      <c r="B430" s="26" t="s">
        <v>783</v>
      </c>
      <c r="C430" s="32">
        <f>SUMIFS($C$2:$C$424,$G$2:$G$424,"G")</f>
        <v>115614214.66</v>
      </c>
      <c r="D430" s="32">
        <f>SUMIFS($D$2:$D$424,$G$2:$G$424,"G")</f>
        <v>92800448.88000004</v>
      </c>
      <c r="E430" s="32">
        <f>SUMIFS($E$2:$E$424,$G$2:$G$424,"g")+E416+E422+E423</f>
        <v>1548066.6700000002</v>
      </c>
      <c r="F430" s="32">
        <f>SUMIFS($F$2:$F$424,$G$2:$G$424,"g")</f>
        <v>22813765.780000001</v>
      </c>
      <c r="G430" s="33">
        <f t="shared" si="11"/>
        <v>-4.4703483581542969E-8</v>
      </c>
    </row>
    <row r="431" spans="1:7">
      <c r="B431" s="26" t="s">
        <v>784</v>
      </c>
      <c r="C431" s="32">
        <f>SUMIFS($C$2:$C$424,$G$2:$G$424,"G&amp;A")</f>
        <v>2817760.3400000003</v>
      </c>
      <c r="D431" s="32">
        <f>SUMIFS($D$2:$D$424,$G$2:$G$424,"G&amp;A")</f>
        <v>1719273.2800000005</v>
      </c>
      <c r="E431" s="32">
        <f>SUMIFS($E$2:$E$424,$G$2:$G$424,"G&amp;A")</f>
        <v>150579.75999999995</v>
      </c>
      <c r="F431" s="32">
        <f>SUMIFS($F$2:$F$424,$G$2:$G$424,"G&amp;A")</f>
        <v>1098487.0599999998</v>
      </c>
      <c r="G431" s="33">
        <f t="shared" si="11"/>
        <v>0</v>
      </c>
    </row>
    <row r="432" spans="1:7">
      <c r="B432" s="26" t="s">
        <v>785</v>
      </c>
      <c r="C432" s="34">
        <f>SUMIFS($C$2:$C$424,$G$2:$G$424,"CWIP")</f>
        <v>9096320.4100000001</v>
      </c>
      <c r="D432" s="34">
        <f>SUMIFS($D$2:$D$424,$G$2:$G$424,"CWIP")</f>
        <v>0</v>
      </c>
      <c r="E432" s="34">
        <f>SUMIFS($E$2:$E$424,$G$2:$G$424,"cwip")</f>
        <v>0</v>
      </c>
      <c r="F432" s="34">
        <f>SUMIFS($F$2:$F$424,$G$2:$G$424,"cwip")</f>
        <v>9096320.4100000001</v>
      </c>
      <c r="G432" s="33">
        <f t="shared" si="11"/>
        <v>0</v>
      </c>
    </row>
    <row r="433" spans="1:7">
      <c r="B433" s="26"/>
      <c r="C433" s="25">
        <f>SUM(C428:C432)</f>
        <v>192175221.37</v>
      </c>
      <c r="D433" s="25">
        <f>SUM(D428:D432)</f>
        <v>114605807.60000004</v>
      </c>
      <c r="E433" s="25">
        <f>SUM(E428:E432)</f>
        <v>4257523.0399999991</v>
      </c>
      <c r="F433" s="25">
        <f>SUM(F428:F432)</f>
        <v>77569413.769999996</v>
      </c>
      <c r="G433" s="33">
        <f t="shared" si="11"/>
        <v>0</v>
      </c>
    </row>
    <row r="434" spans="1:7">
      <c r="B434" s="29" t="s">
        <v>780</v>
      </c>
      <c r="C434" s="30">
        <f>+C425</f>
        <v>2626863.14</v>
      </c>
      <c r="D434" s="30">
        <f>+D425</f>
        <v>1306837.24</v>
      </c>
      <c r="E434" s="30">
        <f>+E425</f>
        <v>145274.79999999999</v>
      </c>
      <c r="F434" s="30">
        <f>+F425</f>
        <v>1320025.9000000001</v>
      </c>
      <c r="G434" s="33">
        <f t="shared" si="11"/>
        <v>0</v>
      </c>
    </row>
    <row r="435" spans="1:7" ht="14.4" thickBot="1">
      <c r="C435" s="31">
        <f>SUM(C433:C434)</f>
        <v>194802084.50999999</v>
      </c>
      <c r="D435" s="31">
        <f>SUM(D433:D434)</f>
        <v>115912644.84000003</v>
      </c>
      <c r="E435" s="31">
        <f>SUM(E433:E434)</f>
        <v>4402797.8399999989</v>
      </c>
      <c r="F435" s="31">
        <f>SUM(F433:F434)</f>
        <v>78889439.670000002</v>
      </c>
      <c r="G435" s="33">
        <f t="shared" si="11"/>
        <v>0</v>
      </c>
    </row>
    <row r="436" spans="1:7" ht="14.4" thickTop="1">
      <c r="B436" s="26"/>
      <c r="C436" s="25" t="str">
        <f>IF(C435=C426,"",C435-C426)</f>
        <v/>
      </c>
      <c r="D436" s="25" t="str">
        <f>IF(D435=D426,"",D435-D426)</f>
        <v/>
      </c>
      <c r="E436" s="25" t="str">
        <f>IF(E435=E426,"",E435-E426)</f>
        <v/>
      </c>
      <c r="F436" s="25" t="str">
        <f>IF(F435=F426,"",F435-F426)</f>
        <v/>
      </c>
    </row>
    <row r="437" spans="1:7">
      <c r="B437" s="26" t="s">
        <v>786</v>
      </c>
      <c r="C437" s="35">
        <f>+C428/(C428+C429)</f>
        <v>0.52873818611498302</v>
      </c>
    </row>
    <row r="438" spans="1:7">
      <c r="B438" s="26" t="s">
        <v>787</v>
      </c>
      <c r="C438" s="36">
        <f>+C429/(C428+C429)</f>
        <v>0.47126181388501703</v>
      </c>
      <c r="D438" s="8"/>
      <c r="E438" s="8"/>
      <c r="F438" s="8"/>
    </row>
    <row r="439" spans="1:7" ht="14.4" thickBot="1">
      <c r="C439" s="37">
        <f>SUM(C437:C438)</f>
        <v>1</v>
      </c>
      <c r="D439" s="8"/>
      <c r="E439" s="8"/>
      <c r="F439" s="8"/>
    </row>
    <row r="440" spans="1:7" ht="14.4" thickTop="1">
      <c r="D440" s="8"/>
      <c r="E440" s="8"/>
      <c r="F440" s="8"/>
    </row>
    <row r="446" spans="1:7">
      <c r="A446" s="20" t="s">
        <v>218</v>
      </c>
      <c r="B446" s="20" t="s">
        <v>219</v>
      </c>
      <c r="C446" s="21">
        <v>11750</v>
      </c>
      <c r="D446" s="21">
        <v>11750</v>
      </c>
      <c r="E446" s="21">
        <v>0</v>
      </c>
      <c r="F446" s="21">
        <f t="shared" ref="F446:F461" si="12">+C446-D446</f>
        <v>0</v>
      </c>
      <c r="G446" s="20" t="s">
        <v>201</v>
      </c>
    </row>
    <row r="447" spans="1:7">
      <c r="A447" s="20" t="s">
        <v>222</v>
      </c>
      <c r="B447" s="20" t="s">
        <v>223</v>
      </c>
      <c r="C447" s="21">
        <v>5412.14</v>
      </c>
      <c r="D447" s="21">
        <v>5412.14</v>
      </c>
      <c r="E447" s="21">
        <v>0</v>
      </c>
      <c r="F447" s="21">
        <f t="shared" si="12"/>
        <v>0</v>
      </c>
      <c r="G447" s="20" t="s">
        <v>201</v>
      </c>
    </row>
    <row r="448" spans="1:7">
      <c r="A448" s="20" t="s">
        <v>234</v>
      </c>
      <c r="B448" s="20" t="s">
        <v>235</v>
      </c>
      <c r="C448" s="21">
        <v>5305.5</v>
      </c>
      <c r="D448" s="21">
        <v>5305.5</v>
      </c>
      <c r="E448" s="21">
        <v>0</v>
      </c>
      <c r="F448" s="21">
        <f t="shared" si="12"/>
        <v>0</v>
      </c>
      <c r="G448" s="20" t="s">
        <v>201</v>
      </c>
    </row>
    <row r="449" spans="1:8">
      <c r="A449" s="20" t="s">
        <v>238</v>
      </c>
      <c r="B449" s="20" t="s">
        <v>239</v>
      </c>
      <c r="C449" s="21">
        <v>7027</v>
      </c>
      <c r="D449" s="21">
        <v>7027</v>
      </c>
      <c r="E449" s="21">
        <v>0</v>
      </c>
      <c r="F449" s="21">
        <f t="shared" si="12"/>
        <v>0</v>
      </c>
      <c r="G449" s="20" t="s">
        <v>201</v>
      </c>
    </row>
    <row r="450" spans="1:8">
      <c r="A450" s="20" t="s">
        <v>240</v>
      </c>
      <c r="B450" s="20" t="s">
        <v>241</v>
      </c>
      <c r="C450" s="21">
        <v>23935</v>
      </c>
      <c r="D450" s="21">
        <v>23935</v>
      </c>
      <c r="E450" s="21">
        <v>0</v>
      </c>
      <c r="F450" s="21">
        <f t="shared" si="12"/>
        <v>0</v>
      </c>
      <c r="G450" s="20" t="s">
        <v>201</v>
      </c>
    </row>
    <row r="451" spans="1:8">
      <c r="A451" s="20" t="s">
        <v>242</v>
      </c>
      <c r="B451" s="20" t="s">
        <v>243</v>
      </c>
      <c r="C451" s="21">
        <v>5170</v>
      </c>
      <c r="D451" s="21">
        <v>5170</v>
      </c>
      <c r="E451" s="21">
        <v>0</v>
      </c>
      <c r="F451" s="21">
        <f t="shared" si="12"/>
        <v>0</v>
      </c>
      <c r="G451" s="20" t="s">
        <v>201</v>
      </c>
    </row>
    <row r="452" spans="1:8">
      <c r="A452" s="20" t="s">
        <v>244</v>
      </c>
      <c r="B452" s="20" t="s">
        <v>245</v>
      </c>
      <c r="C452" s="21">
        <v>9305</v>
      </c>
      <c r="D452" s="21">
        <v>9305</v>
      </c>
      <c r="E452" s="21">
        <v>0</v>
      </c>
      <c r="F452" s="21">
        <f t="shared" si="12"/>
        <v>0</v>
      </c>
      <c r="G452" s="20" t="s">
        <v>201</v>
      </c>
    </row>
    <row r="453" spans="1:8">
      <c r="A453" s="16" t="s">
        <v>64</v>
      </c>
      <c r="B453" s="16" t="s">
        <v>65</v>
      </c>
      <c r="C453" s="17">
        <v>143327.78</v>
      </c>
      <c r="D453" s="17">
        <f>106062.53+5733.11+5733.1+2866.55</f>
        <v>120395.29000000001</v>
      </c>
      <c r="E453" s="27">
        <f>2866.55</f>
        <v>2866.55</v>
      </c>
      <c r="F453" s="17">
        <f t="shared" si="12"/>
        <v>22932.489999999991</v>
      </c>
      <c r="G453" s="14" t="s">
        <v>9</v>
      </c>
    </row>
    <row r="454" spans="1:8">
      <c r="A454" s="16" t="s">
        <v>66</v>
      </c>
      <c r="B454" s="16" t="s">
        <v>67</v>
      </c>
      <c r="C454" s="17">
        <v>54435.33</v>
      </c>
      <c r="D454" s="17">
        <v>54435.33</v>
      </c>
      <c r="E454" s="17">
        <v>0</v>
      </c>
      <c r="F454" s="17">
        <f t="shared" si="12"/>
        <v>0</v>
      </c>
      <c r="G454" s="14" t="s">
        <v>9</v>
      </c>
    </row>
    <row r="455" spans="1:8">
      <c r="A455" s="20" t="s">
        <v>358</v>
      </c>
      <c r="B455" s="20" t="s">
        <v>359</v>
      </c>
      <c r="C455" s="21">
        <v>41369.54</v>
      </c>
      <c r="D455" s="21">
        <v>41369.54</v>
      </c>
      <c r="E455" s="21">
        <v>0</v>
      </c>
      <c r="F455" s="21">
        <f t="shared" si="12"/>
        <v>0</v>
      </c>
      <c r="G455" s="20" t="s">
        <v>201</v>
      </c>
    </row>
    <row r="456" spans="1:8">
      <c r="A456" s="20" t="s">
        <v>360</v>
      </c>
      <c r="B456" s="20" t="s">
        <v>361</v>
      </c>
      <c r="C456" s="21">
        <v>343224.64</v>
      </c>
      <c r="D456" s="21">
        <v>343224.64</v>
      </c>
      <c r="E456" s="21">
        <v>0</v>
      </c>
      <c r="F456" s="21">
        <f t="shared" si="12"/>
        <v>0</v>
      </c>
      <c r="G456" s="20" t="s">
        <v>201</v>
      </c>
    </row>
    <row r="457" spans="1:8">
      <c r="A457" s="20" t="s">
        <v>362</v>
      </c>
      <c r="B457" s="20" t="s">
        <v>363</v>
      </c>
      <c r="C457" s="21">
        <v>83868.08</v>
      </c>
      <c r="D457" s="21">
        <v>83868.08</v>
      </c>
      <c r="E457" s="21">
        <v>0</v>
      </c>
      <c r="F457" s="21">
        <f t="shared" si="12"/>
        <v>0</v>
      </c>
      <c r="G457" s="20" t="s">
        <v>201</v>
      </c>
    </row>
    <row r="458" spans="1:8">
      <c r="A458" s="20" t="s">
        <v>364</v>
      </c>
      <c r="B458" s="20" t="s">
        <v>359</v>
      </c>
      <c r="C458" s="21">
        <v>88603.87</v>
      </c>
      <c r="D458" s="21">
        <f>62022.7+17720.78+8860.39</f>
        <v>88603.87</v>
      </c>
      <c r="E458" s="21">
        <f>8860.39</f>
        <v>8860.39</v>
      </c>
      <c r="F458" s="21">
        <f t="shared" si="12"/>
        <v>0</v>
      </c>
      <c r="G458" s="20" t="s">
        <v>201</v>
      </c>
    </row>
    <row r="459" spans="1:8">
      <c r="A459" s="16" t="s">
        <v>132</v>
      </c>
      <c r="B459" s="16" t="s">
        <v>133</v>
      </c>
      <c r="C459" s="17">
        <v>5496.87</v>
      </c>
      <c r="D459" s="17">
        <f>3627.88+219.88+219.88+109.94</f>
        <v>4177.58</v>
      </c>
      <c r="E459" s="27">
        <f>109.94</f>
        <v>109.94</v>
      </c>
      <c r="F459" s="17">
        <f t="shared" si="12"/>
        <v>1319.29</v>
      </c>
      <c r="G459" s="14" t="s">
        <v>9</v>
      </c>
    </row>
    <row r="460" spans="1:8">
      <c r="A460" s="16" t="s">
        <v>170</v>
      </c>
      <c r="B460" s="16" t="s">
        <v>171</v>
      </c>
      <c r="C460" s="17">
        <v>18117</v>
      </c>
      <c r="D460" s="17">
        <f>2536.38+724.68+724.68+362.34</f>
        <v>4348.08</v>
      </c>
      <c r="E460" s="27">
        <f>362.34</f>
        <v>362.34</v>
      </c>
      <c r="F460" s="17">
        <f t="shared" si="12"/>
        <v>13768.92</v>
      </c>
      <c r="G460" s="14" t="s">
        <v>9</v>
      </c>
    </row>
    <row r="461" spans="1:8">
      <c r="A461" s="4" t="s">
        <v>197</v>
      </c>
      <c r="B461" s="4" t="s">
        <v>198</v>
      </c>
      <c r="C461" s="5">
        <v>32065.05</v>
      </c>
      <c r="D461" s="5">
        <v>0</v>
      </c>
      <c r="E461" s="5">
        <v>0</v>
      </c>
      <c r="F461" s="5">
        <f t="shared" si="12"/>
        <v>32065.05</v>
      </c>
      <c r="G461" s="4" t="s">
        <v>195</v>
      </c>
      <c r="H461" s="8" t="s">
        <v>9</v>
      </c>
    </row>
  </sheetData>
  <sortState ref="A2:K405">
    <sortCondition ref="G2:G405"/>
    <sortCondition ref="A2:A405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>City of Ames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Stanley</dc:creator>
  <cp:lastModifiedBy>Tina Stanley</cp:lastModifiedBy>
  <dcterms:created xsi:type="dcterms:W3CDTF">2015-02-26T21:53:21Z</dcterms:created>
  <dcterms:modified xsi:type="dcterms:W3CDTF">2016-04-15T22:04:49Z</dcterms:modified>
</cp:coreProperties>
</file>