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2120" windowHeight="9120" tabRatio="944"/>
  </bookViews>
  <sheets>
    <sheet name="Balance sheet" sheetId="1" r:id="rId1"/>
    <sheet name="Income Statement" sheetId="4" r:id="rId2"/>
    <sheet name="Electric Plant" sheetId="8" r:id="rId3"/>
    <sheet name="Taxes" sheetId="7" r:id="rId4"/>
    <sheet name="Op &amp; Maint" sheetId="5" r:id="rId5"/>
    <sheet name="Mat&amp;Sup" sheetId="9" r:id="rId6"/>
    <sheet name="Prepay" sheetId="10" r:id="rId7"/>
    <sheet name="Wages" sheetId="11" r:id="rId8"/>
    <sheet name="G&amp;A" sheetId="12" r:id="rId9"/>
    <sheet name="Peaks" sheetId="13" r:id="rId10"/>
    <sheet name="IAUtil" sheetId="14" r:id="rId11"/>
  </sheets>
  <definedNames>
    <definedName name="_xlnm.Print_Area" localSheetId="1">'Income Statement'!$A$1:$C$31</definedName>
  </definedNames>
  <calcPr calcId="125725" concurrentCalc="0"/>
</workbook>
</file>

<file path=xl/calcChain.xml><?xml version="1.0" encoding="utf-8"?>
<calcChain xmlns="http://schemas.openxmlformats.org/spreadsheetml/2006/main">
  <c r="D10" i="5"/>
  <c r="B22" i="13"/>
  <c r="B20"/>
  <c r="B8"/>
  <c r="C32" i="12"/>
  <c r="C37"/>
  <c r="C39"/>
  <c r="C40"/>
  <c r="C35"/>
  <c r="C34"/>
  <c r="C30"/>
  <c r="C29"/>
  <c r="C11"/>
  <c r="C10"/>
  <c r="C9"/>
  <c r="C8"/>
  <c r="C43"/>
  <c r="C26"/>
  <c r="C19"/>
  <c r="C12"/>
  <c r="B10" i="11"/>
  <c r="B9"/>
  <c r="B8"/>
  <c r="B39"/>
  <c r="B35"/>
  <c r="B37"/>
  <c r="B36"/>
  <c r="B38"/>
  <c r="B7"/>
  <c r="B32"/>
  <c r="B31"/>
  <c r="B30"/>
  <c r="B29"/>
  <c r="B28"/>
  <c r="B6"/>
  <c r="B25"/>
  <c r="B24"/>
  <c r="B23"/>
  <c r="B12" i="10"/>
  <c r="B10" i="9"/>
  <c r="C30"/>
  <c r="C31"/>
  <c r="C29"/>
  <c r="C32"/>
  <c r="C33"/>
  <c r="B7"/>
  <c r="D26"/>
  <c r="D25"/>
  <c r="D24"/>
  <c r="D23"/>
  <c r="D22"/>
  <c r="D33" i="5"/>
  <c r="D21"/>
  <c r="D29"/>
  <c r="D25"/>
  <c r="D23"/>
  <c r="D16"/>
  <c r="C10"/>
  <c r="C36" i="7"/>
  <c r="C35"/>
  <c r="C34"/>
  <c r="C33"/>
  <c r="C32"/>
  <c r="C31"/>
  <c r="C30"/>
  <c r="C29"/>
  <c r="C17"/>
  <c r="C12"/>
  <c r="C19"/>
  <c r="G35" i="8"/>
  <c r="G34"/>
  <c r="G33"/>
  <c r="C15" i="1"/>
  <c r="C11"/>
  <c r="C12"/>
  <c r="D11" i="8"/>
  <c r="E27"/>
  <c r="D17"/>
  <c r="D27"/>
  <c r="E19"/>
  <c r="D19"/>
  <c r="D18"/>
  <c r="C27"/>
  <c r="C19"/>
  <c r="C18"/>
  <c r="C17"/>
  <c r="C11"/>
  <c r="C34" i="4"/>
  <c r="C24"/>
  <c r="C27"/>
  <c r="C28"/>
  <c r="C31"/>
  <c r="C35"/>
  <c r="C36"/>
  <c r="C22"/>
  <c r="C19"/>
  <c r="C12"/>
  <c r="C10"/>
  <c r="C9"/>
  <c r="F15" i="1"/>
  <c r="F50"/>
  <c r="F44"/>
  <c r="F43"/>
  <c r="F41"/>
  <c r="F38"/>
  <c r="F24"/>
  <c r="F20"/>
  <c r="C45"/>
  <c r="C43"/>
  <c r="C41"/>
  <c r="C40"/>
  <c r="C38"/>
  <c r="C36"/>
  <c r="C35"/>
  <c r="C33"/>
  <c r="C29"/>
  <c r="C15" i="8"/>
  <c r="C20"/>
  <c r="C25"/>
  <c r="D15"/>
  <c r="D20"/>
  <c r="D25"/>
  <c r="E20"/>
  <c r="E25"/>
  <c r="F20"/>
  <c r="F25"/>
  <c r="G25"/>
  <c r="G24"/>
  <c r="G23"/>
  <c r="G22"/>
  <c r="G20"/>
  <c r="D28"/>
  <c r="C46" i="1"/>
  <c r="C16"/>
  <c r="C22"/>
  <c r="C30"/>
  <c r="C54"/>
  <c r="C56"/>
  <c r="F16"/>
  <c r="F28"/>
  <c r="F45"/>
  <c r="F54"/>
  <c r="F56"/>
  <c r="F57"/>
  <c r="D19" i="5"/>
  <c r="D31"/>
  <c r="E19"/>
  <c r="E31"/>
  <c r="C19"/>
  <c r="F18"/>
  <c r="F16"/>
  <c r="F13"/>
  <c r="F11"/>
  <c r="G9" i="8"/>
  <c r="F33" i="1"/>
  <c r="G15" i="8"/>
  <c r="E15"/>
  <c r="E28"/>
  <c r="F15"/>
  <c r="G27"/>
  <c r="G19"/>
  <c r="G17"/>
  <c r="G14"/>
  <c r="G13"/>
  <c r="G12"/>
  <c r="G11"/>
  <c r="G18"/>
  <c r="A1"/>
  <c r="A4"/>
  <c r="A1" i="4"/>
  <c r="A4"/>
  <c r="C15"/>
  <c r="C16"/>
  <c r="C18"/>
  <c r="C23"/>
  <c r="F29" i="5"/>
  <c r="F27"/>
  <c r="F28"/>
  <c r="F25"/>
  <c r="F23"/>
  <c r="F19"/>
  <c r="F21"/>
  <c r="F31"/>
  <c r="F15"/>
  <c r="F10"/>
  <c r="A1"/>
  <c r="A4"/>
  <c r="A1" i="7"/>
  <c r="A4"/>
  <c r="C28" i="8"/>
  <c r="F28"/>
  <c r="G28"/>
  <c r="G31"/>
</calcChain>
</file>

<file path=xl/comments1.xml><?xml version="1.0" encoding="utf-8"?>
<comments xmlns="http://schemas.openxmlformats.org/spreadsheetml/2006/main">
  <authors>
    <author>Tina Stanley</author>
  </authors>
  <commentList>
    <comment ref="C29" authorId="0">
      <text>
        <r>
          <rPr>
            <b/>
            <sz val="9"/>
            <color indexed="81"/>
            <rFont val="Tahoma"/>
            <charset val="1"/>
          </rPr>
          <t>Tina Stanley:</t>
        </r>
        <r>
          <rPr>
            <sz val="9"/>
            <color indexed="81"/>
            <rFont val="Tahoma"/>
            <charset val="1"/>
          </rPr>
          <t xml:space="preserve">
investments from CAFR</t>
        </r>
      </text>
    </comment>
  </commentList>
</comments>
</file>

<file path=xl/sharedStrings.xml><?xml version="1.0" encoding="utf-8"?>
<sst xmlns="http://schemas.openxmlformats.org/spreadsheetml/2006/main" count="421" uniqueCount="364">
  <si>
    <t>EIA-412</t>
  </si>
  <si>
    <t>Line</t>
  </si>
  <si>
    <t>No.</t>
  </si>
  <si>
    <t>ASSETS and OTHER DEBITS</t>
  </si>
  <si>
    <t>AMOUNT</t>
  </si>
  <si>
    <t>No</t>
  </si>
  <si>
    <t>LIABILITIES and OTHER CREDITS</t>
  </si>
  <si>
    <t>(Dollars)</t>
  </si>
  <si>
    <t>Electric Plant &amp; Adjustments</t>
  </si>
  <si>
    <t>(101-106,114,116)</t>
  </si>
  <si>
    <t xml:space="preserve">Construction Work In Progress (107) </t>
  </si>
  <si>
    <t>(Less) Accumulated Provision for</t>
  </si>
  <si>
    <t xml:space="preserve">Depreciation, Amortization and </t>
  </si>
  <si>
    <t>Depletion (108,111,115)</t>
  </si>
  <si>
    <t xml:space="preserve">Net Electric Plant </t>
  </si>
  <si>
    <t>Nuclear Fuel (120.1-120.4, 120.6)</t>
  </si>
  <si>
    <t>Amortization of Nuclear Fuel</t>
  </si>
  <si>
    <t>Assemblies (120.5)</t>
  </si>
  <si>
    <t>Net Electric Plant including Nuclear</t>
  </si>
  <si>
    <t xml:space="preserve">Fuel </t>
  </si>
  <si>
    <t>OTHER PROPERTY &amp; INVESTMENTS</t>
  </si>
  <si>
    <t>ELECTRIC PLANT</t>
  </si>
  <si>
    <t>Non-Electric Plant Property (121)</t>
  </si>
  <si>
    <t>Depreciation and Amortization (122)</t>
  </si>
  <si>
    <t>Investment in Associated Enterprises</t>
  </si>
  <si>
    <t>(123-123.1)</t>
  </si>
  <si>
    <t>Investments &amp; Special Funds (124-129)</t>
  </si>
  <si>
    <t>Total Other Property and Investments</t>
  </si>
  <si>
    <t>CURRENT &amp; ACCRUED ASSETS</t>
  </si>
  <si>
    <t>Cash, Working Funds &amp; Investments</t>
  </si>
  <si>
    <t>(131-136)</t>
  </si>
  <si>
    <t>Notes &amp; Other Receivables</t>
  </si>
  <si>
    <t>(141, 143, 145, 146, 172)</t>
  </si>
  <si>
    <t>Customer Accounts Recevable (142)</t>
  </si>
  <si>
    <t>Uncollectible Accounts (144)</t>
  </si>
  <si>
    <t>Fuel Stock &amp; Expenses Undistributed</t>
  </si>
  <si>
    <t>(151-152)</t>
  </si>
  <si>
    <t>Plant Materials &amp; Operating Supplies (154)</t>
  </si>
  <si>
    <t>Other Supplies &amp; Misc (153, 155-163)</t>
  </si>
  <si>
    <t>Prepayments (165)</t>
  </si>
  <si>
    <t xml:space="preserve">Accrued revenues (173) </t>
  </si>
  <si>
    <t>Misc Current &amp; Accrued Assets (171, 174)</t>
  </si>
  <si>
    <t>Total Current &amp; Accrued Assets</t>
  </si>
  <si>
    <t>Unamortized Debt Expense (181)</t>
  </si>
  <si>
    <t>Extraordinary Property Losses, Study Costs,</t>
  </si>
  <si>
    <t>and Charges (182.1, 182.2, 182.3, 183)</t>
  </si>
  <si>
    <t xml:space="preserve">Miscellaneous Debt, Research and </t>
  </si>
  <si>
    <t>Development Expenses &amp; Unamortized</t>
  </si>
  <si>
    <t>Losses (184-191)</t>
  </si>
  <si>
    <t xml:space="preserve">Total Deferred Debits </t>
  </si>
  <si>
    <t>DEFERRED DEBITS</t>
  </si>
  <si>
    <t>TOTAL ASSETS &amp; OTHER DEBITS</t>
  </si>
  <si>
    <t>PROPIETARY CAPITAL</t>
  </si>
  <si>
    <t>Investment of Municipality (208)</t>
  </si>
  <si>
    <t>Miscellaneous Capital (211, 219, 219.1)</t>
  </si>
  <si>
    <t>Retained Earnings</t>
  </si>
  <si>
    <t>(215, 215.1, 216)</t>
  </si>
  <si>
    <t>TOTAL PROPRIETARY CAPITAL</t>
  </si>
  <si>
    <t>LONG TERM DEBT</t>
  </si>
  <si>
    <t>Bonds (221, 222)</t>
  </si>
  <si>
    <t>Advances from Municipality and Other</t>
  </si>
  <si>
    <t>Long Term Debt (223, 224)</t>
  </si>
  <si>
    <t xml:space="preserve">Unamortized Premium on Long Term </t>
  </si>
  <si>
    <t>Debt (225)</t>
  </si>
  <si>
    <t>(Less) Unamortized Discount on Long</t>
  </si>
  <si>
    <t>Term Debt (226)</t>
  </si>
  <si>
    <t>Total Long Term Debt</t>
  </si>
  <si>
    <t>OTHER NONCURRENT LIABILITIES</t>
  </si>
  <si>
    <t>Accumulated Operating Provisions (228.1-.4)</t>
  </si>
  <si>
    <t>Accumulated Provisions for Rate Refunds</t>
  </si>
  <si>
    <t>Total Other Non Current Liabilities</t>
  </si>
  <si>
    <t>CURRENT AND ACCRUED LIABILITIES</t>
  </si>
  <si>
    <t>Notes Payable (231)</t>
  </si>
  <si>
    <t>Accounts Payable (232)</t>
  </si>
  <si>
    <t>Associated Enterprises (233, 234)</t>
  </si>
  <si>
    <t>Notes and Accounts Payable to</t>
  </si>
  <si>
    <t>Customer Deposits (235)</t>
  </si>
  <si>
    <t>Accrued taxes (236)</t>
  </si>
  <si>
    <t>Accrued Interest payable (237)</t>
  </si>
  <si>
    <t>Misc Curr &amp; Accr Liabilities (239-245)</t>
  </si>
  <si>
    <t>Total Current &amp; Accrued Liabilities</t>
  </si>
  <si>
    <t>TOTAL LIABILITIES &amp; OTHER CREDITS</t>
  </si>
  <si>
    <t>Total Deferred Credits</t>
  </si>
  <si>
    <t xml:space="preserve">Unamortized gain on Reacquired Debt </t>
  </si>
  <si>
    <t>DEFERRED CREDITS</t>
  </si>
  <si>
    <t>Customer Advances for Construction</t>
  </si>
  <si>
    <t>(252)</t>
  </si>
  <si>
    <t xml:space="preserve">Other Deferred Credits </t>
  </si>
  <si>
    <t>(253, 256, 281-283)</t>
  </si>
  <si>
    <t>(257)</t>
  </si>
  <si>
    <t>ELECTRIC BALANCE SHEET</t>
  </si>
  <si>
    <t>ELECTRIC INCOME STATEMENT</t>
  </si>
  <si>
    <t>Electric Operating Revenues (400)</t>
  </si>
  <si>
    <t>Amount</t>
  </si>
  <si>
    <t>Operation Expenses (401)</t>
  </si>
  <si>
    <t>Maintenance Expenses (402)</t>
  </si>
  <si>
    <t>Depreciation Expenses (403)</t>
  </si>
  <si>
    <t>Amortization of Electric Plant, Property Losses, and Regulatory Study Costs (404-407)</t>
  </si>
  <si>
    <t>Taxes and Tax Equivalents (408.1, 409.1)</t>
  </si>
  <si>
    <t xml:space="preserve">    TOTAL ELECTRIC OPERATING EXPENSES</t>
  </si>
  <si>
    <t xml:space="preserve">        NET ELECTRIC OPERATING INCOME</t>
  </si>
  <si>
    <t>Income from Electric Plant Leased to Others (412, 413)</t>
  </si>
  <si>
    <t xml:space="preserve">    Electric Operating Income</t>
  </si>
  <si>
    <t>Other Electric Income (415, 417, 418, 419, 421, 421.1)</t>
  </si>
  <si>
    <t>Other Electric Deductions (416, 417, 421.2)</t>
  </si>
  <si>
    <t>Allowance for Other Funds Used During Construction (419.1)</t>
  </si>
  <si>
    <t>Taxes Applicable to Other Income and Deductions (408.2, 409.2)</t>
  </si>
  <si>
    <t xml:space="preserve">    Electric Income</t>
  </si>
  <si>
    <t>Income Deductions from Interest on Long Term Debt (427)</t>
  </si>
  <si>
    <t>Other Income Deductions (428-431)</t>
  </si>
  <si>
    <t>Allowance for Borrowed Funds Used During Constructions (432)</t>
  </si>
  <si>
    <t xml:space="preserve">    Total Income Deductions</t>
  </si>
  <si>
    <t xml:space="preserve">        Income Before Extraordinary Items</t>
  </si>
  <si>
    <t>Extraordinary Items (434)</t>
  </si>
  <si>
    <t>Extraordinary Deductions (435)</t>
  </si>
  <si>
    <t xml:space="preserve">        NET INCOME</t>
  </si>
  <si>
    <t xml:space="preserve">Beginning </t>
  </si>
  <si>
    <t>Balance</t>
  </si>
  <si>
    <t>Additions</t>
  </si>
  <si>
    <t>Retirements</t>
  </si>
  <si>
    <t>Transfers</t>
  </si>
  <si>
    <t>Ending</t>
  </si>
  <si>
    <t>Intangible Plant (301-303)</t>
  </si>
  <si>
    <t>Steam Production (310-316)</t>
  </si>
  <si>
    <t>Nuclear Production (320-325)</t>
  </si>
  <si>
    <t>Hydraulic Production (330-336)</t>
  </si>
  <si>
    <t>Other Production (340-346)</t>
  </si>
  <si>
    <t>Total Production Plant</t>
  </si>
  <si>
    <t>NOTE FOR LINE 5:  Combustion Turbine</t>
  </si>
  <si>
    <t>Transmission Plant (350-359)</t>
  </si>
  <si>
    <t>Distribution Plant (360-373)</t>
  </si>
  <si>
    <t>General Plant (389-399)</t>
  </si>
  <si>
    <t>Total Electric Plant In Service</t>
  </si>
  <si>
    <t>Electric Plant Leased to Others</t>
  </si>
  <si>
    <t>Electric Plant Held for Future Use</t>
  </si>
  <si>
    <t>Electric Plant Miscellaneous</t>
  </si>
  <si>
    <t>Construction Work in Progress</t>
  </si>
  <si>
    <t>Total Electric Plant &amp; Adj's</t>
  </si>
  <si>
    <t xml:space="preserve">Line </t>
  </si>
  <si>
    <t>Taxes other than Income Taxes, Operating Income</t>
  </si>
  <si>
    <t>Fuel Cost</t>
  </si>
  <si>
    <t>ELECTRIC OPERATION AND MAINTENANCE EXPENSES (Dollars)</t>
  </si>
  <si>
    <t>Operation</t>
  </si>
  <si>
    <t>Maintenance</t>
  </si>
  <si>
    <t>Total</t>
  </si>
  <si>
    <t>Steam Power Generation</t>
  </si>
  <si>
    <t>(500-507, 510-514) Fuel Cost (501)</t>
  </si>
  <si>
    <t>Nuclear Power Generation</t>
  </si>
  <si>
    <t>Hydraulic Power Generation</t>
  </si>
  <si>
    <t>(535-540, 541-545)</t>
  </si>
  <si>
    <t>Other Power Generation</t>
  </si>
  <si>
    <t>(546-550, 551-554) Fuel cost (547)</t>
  </si>
  <si>
    <t>Purchased Power (555)</t>
  </si>
  <si>
    <t>Other Production Expenses</t>
  </si>
  <si>
    <t>(556-557)</t>
  </si>
  <si>
    <t xml:space="preserve">   Total Production Expenses</t>
  </si>
  <si>
    <t>Transmission Expenses</t>
  </si>
  <si>
    <t>(560-567, 568-573)</t>
  </si>
  <si>
    <t>Distribution Expenses</t>
  </si>
  <si>
    <t>(580-589, 590-598)</t>
  </si>
  <si>
    <t>Customer Account Expenses</t>
  </si>
  <si>
    <t>(901-905)</t>
  </si>
  <si>
    <t>Customer Service &amp; Information</t>
  </si>
  <si>
    <t>Expenses (907-910)</t>
  </si>
  <si>
    <t>Sales Expenses (911-916)</t>
  </si>
  <si>
    <t>Admin &amp; General exp (920-935)</t>
  </si>
  <si>
    <t>Total Electric Operation and</t>
  </si>
  <si>
    <t>Maintenance Expenses</t>
  </si>
  <si>
    <t>Total Number of Full Time Employees</t>
  </si>
  <si>
    <t>Total Number of Part Time Employees</t>
  </si>
  <si>
    <t>Note for Line 4 - Combustion Turbine</t>
  </si>
  <si>
    <t xml:space="preserve"> </t>
  </si>
  <si>
    <t>Note for Line 8 - Sternberg Sub</t>
  </si>
  <si>
    <t>XXXXXXXXXXXXX</t>
  </si>
  <si>
    <t>XXXXXXXXXXX</t>
  </si>
  <si>
    <t>Schedule 2</t>
  </si>
  <si>
    <t>Schedule 3</t>
  </si>
  <si>
    <t>Schedule 4</t>
  </si>
  <si>
    <t>Schedule 5</t>
  </si>
  <si>
    <t>Schedule 7</t>
  </si>
  <si>
    <t>(a)</t>
  </si>
  <si>
    <t>(b)</t>
  </si>
  <si>
    <t>(d)</t>
  </si>
  <si>
    <t>(c)</t>
  </si>
  <si>
    <t>City of Ames - Ames Municipal Electric System</t>
  </si>
  <si>
    <t>June 30, 2016</t>
  </si>
  <si>
    <t>Change in net position on CAFR</t>
  </si>
  <si>
    <t>Line 23 above</t>
  </si>
  <si>
    <t>Difference</t>
  </si>
  <si>
    <t>The electric fund has capital assets that are held in the fleet fund. The net income in the above schedule is lower than the</t>
  </si>
  <si>
    <t>CAFR by $126,326 because the depreciation expense on these assets was added to the electric fund.</t>
  </si>
  <si>
    <t>Capital assets per CAFR</t>
  </si>
  <si>
    <t>Line 16 above</t>
  </si>
  <si>
    <t>Fleet fund capital assets included in line 9 above</t>
  </si>
  <si>
    <t>Payroll</t>
  </si>
  <si>
    <t>Highway &amp; Vehicle</t>
  </si>
  <si>
    <t>Property</t>
  </si>
  <si>
    <t>Gross</t>
  </si>
  <si>
    <t>Other - please explain</t>
  </si>
  <si>
    <t>Payment in lieu of tax</t>
  </si>
  <si>
    <t>Fed &amp; State income Tax</t>
  </si>
  <si>
    <t>*Payroll taxes are included in cost of goods and services and administration expenses in the financial statements</t>
  </si>
  <si>
    <t>**Payment in lieu of tax is included in the transfers out line in the financial statements</t>
  </si>
  <si>
    <t>Attachment O, page 3, line 13</t>
  </si>
  <si>
    <t>Attachment O, page 3, line 14</t>
  </si>
  <si>
    <t>Attachment O, page 3, line 16</t>
  </si>
  <si>
    <t>Attachment O, page 3, line 17</t>
  </si>
  <si>
    <t>Attachment O, page 3, line 18</t>
  </si>
  <si>
    <t>Not reported on Attach O</t>
  </si>
  <si>
    <t>*</t>
  </si>
  <si>
    <t>**</t>
  </si>
  <si>
    <t>Note:  The amounts above are included in the total transmission and administrative &amp; general expense</t>
  </si>
  <si>
    <t>amounts on lines 1-8 of page 3 of the attachment O.</t>
  </si>
  <si>
    <t>Payroll taxes:***</t>
  </si>
  <si>
    <t>Generation</t>
  </si>
  <si>
    <t>Totals from ATTACH_O</t>
  </si>
  <si>
    <t>Purchased power</t>
  </si>
  <si>
    <t>Distribution</t>
  </si>
  <si>
    <t>Customer accounts</t>
  </si>
  <si>
    <t>Distribution portion of 10/90</t>
  </si>
  <si>
    <t>Distribution portion of 30/70</t>
  </si>
  <si>
    <t>Distribution portion of 50/50</t>
  </si>
  <si>
    <t>***Transmission and G&amp;A payroll taxes are included in the totals for those categories.</t>
  </si>
  <si>
    <t>Materials &amp; Supplies</t>
  </si>
  <si>
    <t>June 30, 2015</t>
  </si>
  <si>
    <t>Production</t>
  </si>
  <si>
    <t>Transmission</t>
  </si>
  <si>
    <t>should be reported on Attachment O, page 2, line 27</t>
  </si>
  <si>
    <t xml:space="preserve">Distribution </t>
  </si>
  <si>
    <t>Other</t>
  </si>
  <si>
    <t>Should tie to a financial statement line item - if not please</t>
  </si>
  <si>
    <t>indicate what line of the audited financials reflectes M&amp;S</t>
  </si>
  <si>
    <t xml:space="preserve">And indicate what other items are included in that financial statement line item </t>
  </si>
  <si>
    <t>by providing a brief but descriptive explanation</t>
  </si>
  <si>
    <t>This amount is included line 19 of the EIA-412.</t>
  </si>
  <si>
    <r>
      <t xml:space="preserve">Below </t>
    </r>
    <r>
      <rPr>
        <sz val="11"/>
        <rFont val="Times New Roman"/>
        <family val="1"/>
      </rPr>
      <t xml:space="preserve">- Provide a brief but descriptive list of the Transmission related Materials and Supplies </t>
    </r>
  </si>
  <si>
    <t>and the amounts related to each item of Transmission related Materials and Supplies</t>
  </si>
  <si>
    <t>Account 141.10-01 - electric distribution materials and supplies</t>
  </si>
  <si>
    <t>Account 141.90-01 - electric distribution non-cataloged inventory</t>
  </si>
  <si>
    <t>Account 141.90-02 - meter inventory</t>
  </si>
  <si>
    <t>Account 141.90-04 - production inventory</t>
  </si>
  <si>
    <t>Total inventory to allocate</t>
  </si>
  <si>
    <t>Allocation percentage:</t>
  </si>
  <si>
    <t>Net transmission assets (page 2, line 14)</t>
  </si>
  <si>
    <t>Net distribution assets (page 2, line 15)</t>
  </si>
  <si>
    <t>Total transmission &amp; distribution assets</t>
  </si>
  <si>
    <t>Transmission percentage of total</t>
  </si>
  <si>
    <t>Percentage times inventory above</t>
  </si>
  <si>
    <t>Pre-payments</t>
  </si>
  <si>
    <t>Pre Payment Description</t>
  </si>
  <si>
    <t>Subscriptions &amp; dues</t>
  </si>
  <si>
    <t>Use / local option tax</t>
  </si>
  <si>
    <t>Software support</t>
  </si>
  <si>
    <t>XXXXX</t>
  </si>
  <si>
    <t>Total Pre Payments</t>
  </si>
  <si>
    <t>Attachment O, page 2, line 28 and EIA 412, Schedule 2, line 20</t>
  </si>
  <si>
    <t>indicate what line of the audited financials reflectes Pre Payments</t>
  </si>
  <si>
    <t>Wages &amp; Salaries</t>
  </si>
  <si>
    <t>Report on Attachment O, page 4, line 12</t>
  </si>
  <si>
    <t>Payroll tab, cell D1</t>
  </si>
  <si>
    <t>Transmisssion</t>
  </si>
  <si>
    <t>Report on Attachment O, page 4, line 13</t>
  </si>
  <si>
    <t>Payroll tab, cell C3</t>
  </si>
  <si>
    <t>Report on Attachment O, page 4, line 14</t>
  </si>
  <si>
    <t>Payroll tab, cell C2</t>
  </si>
  <si>
    <t>Other _1/</t>
  </si>
  <si>
    <t>Report on Attachment O, page 4, line 15</t>
  </si>
  <si>
    <t>Payroll tab, cell C5</t>
  </si>
  <si>
    <t xml:space="preserve">* We do not report total wages as a category by itself on the financial statements.  We only have cost of goods &amp; services, </t>
  </si>
  <si>
    <t>administration, and depreciation.</t>
  </si>
  <si>
    <t>Confirm that the above does not contain any capitalized wages.</t>
  </si>
  <si>
    <t>Confirm that the above does not contain any any A&amp;G related wages</t>
  </si>
  <si>
    <t>_1/  Other is to include salaries charged to administer customer accounts 901 - 916 as defined by the</t>
  </si>
  <si>
    <t>USofA</t>
  </si>
  <si>
    <t>Production:</t>
  </si>
  <si>
    <t>Transmission:</t>
  </si>
  <si>
    <t>30% T/D</t>
  </si>
  <si>
    <t>10% T/D</t>
  </si>
  <si>
    <t>50% T/D</t>
  </si>
  <si>
    <t>Distribution:</t>
  </si>
  <si>
    <t>70% T/D</t>
  </si>
  <si>
    <t>90% T/D</t>
  </si>
  <si>
    <t>Administrative &amp; General Expenses</t>
  </si>
  <si>
    <t>Customer Accounts Expenses:</t>
  </si>
  <si>
    <t>901  Supervision</t>
  </si>
  <si>
    <t>902  Meter Reading Expenses</t>
  </si>
  <si>
    <t>530-1733 accounts</t>
  </si>
  <si>
    <t>903  Customer Records and Collection Expenses</t>
  </si>
  <si>
    <t>530-1732/1734 accounts</t>
  </si>
  <si>
    <t>904  Uncollectible Accounts</t>
  </si>
  <si>
    <t>530-1700-486.80-15</t>
  </si>
  <si>
    <t>905  Miscellaneous Customer Accounts Expenses</t>
  </si>
  <si>
    <t>Total Customer Accounts Expense</t>
  </si>
  <si>
    <t>EIA 412, Sch 7, line 10</t>
  </si>
  <si>
    <t>Customer Service and Informational Expenses:</t>
  </si>
  <si>
    <t>907  Supervision</t>
  </si>
  <si>
    <t>908  Customer Assistance Expenses</t>
  </si>
  <si>
    <t>909  Informational and Instructional Expenses</t>
  </si>
  <si>
    <t>910  Miscellaneous Customer Service and Informational Expenses</t>
  </si>
  <si>
    <t>Total Customer Service and Informational Expenses</t>
  </si>
  <si>
    <t>EIA 412, Sch 7, line 11</t>
  </si>
  <si>
    <t>Sales Expenses:</t>
  </si>
  <si>
    <t>911  Supervision</t>
  </si>
  <si>
    <t>912  Demonstrating and Selling Expenses</t>
  </si>
  <si>
    <t>913  Advertising Expenses</t>
  </si>
  <si>
    <t>916  Miscellaneous Sales Expenses</t>
  </si>
  <si>
    <t>Sales Expenses</t>
  </si>
  <si>
    <t>EIA 412, Sch 7, line 112</t>
  </si>
  <si>
    <t>Administrative and General Expenses:</t>
  </si>
  <si>
    <t>920  Administrative and General Salaries</t>
  </si>
  <si>
    <t>921  Office Supplies and Expenses</t>
  </si>
  <si>
    <t>922 – Administrative Expenses Transferred Credit</t>
  </si>
  <si>
    <t>923 – Outside Services Employed</t>
  </si>
  <si>
    <t>extended reporting report</t>
  </si>
  <si>
    <t>924 – Property Insurance</t>
  </si>
  <si>
    <t>no property insurance recorded in G&amp;A</t>
  </si>
  <si>
    <t>925 – Injuries and Damages</t>
  </si>
  <si>
    <t>926 – Employee Pension and Benefits</t>
  </si>
  <si>
    <t>927 – Franchise Requirements</t>
  </si>
  <si>
    <t>928 – Regulatory Commission Expenses</t>
  </si>
  <si>
    <t>929 – Duplicate Charges Credit</t>
  </si>
  <si>
    <t>930.1 – General Advertising Expenses</t>
  </si>
  <si>
    <t>40-34 accounts</t>
  </si>
  <si>
    <t>930.2 – Miscellaneous General Expenses</t>
  </si>
  <si>
    <t>931 – Rents</t>
  </si>
  <si>
    <t>935 – Maintenance of General Plant</t>
  </si>
  <si>
    <t>Administrative and General Expenses</t>
  </si>
  <si>
    <t>Attach O, page 3, line 3 and EAI 412, Sch 7, line 13</t>
  </si>
  <si>
    <t>Please provide the following information:</t>
  </si>
  <si>
    <t>What line of the audited financial statements includes the A&amp;G Expense?  Expenses are included in the "costs of goods and services" and "administration" lines.</t>
  </si>
  <si>
    <t>Provide a brief but descriptive list of the items and associated amounts reflected in that line of the financial statements</t>
  </si>
  <si>
    <t>What line of the audited financial statements includes the Customer Account, Customer Service, and Sales Expense? Same as above</t>
  </si>
  <si>
    <t>Monthly Coincident Peaks</t>
  </si>
  <si>
    <t>Report the CP of your load in the Pricing Zone by Pricing Zone for Each Month in KWs</t>
  </si>
  <si>
    <t>Sub total</t>
  </si>
  <si>
    <t># of months</t>
  </si>
  <si>
    <t>Average</t>
  </si>
  <si>
    <t>should be reported on Attachment O, page 1, line 8</t>
  </si>
  <si>
    <t>Do the above numbers include any GFA related load?  If yes, provide the following by month for each GFA:</t>
  </si>
  <si>
    <t>Ames does not have any GFA-related load.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</si>
  <si>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</si>
  <si>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</si>
  <si>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</si>
  <si>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</si>
  <si>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</si>
  <si>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</si>
  <si>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</si>
  <si>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</si>
  <si>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</si>
  <si>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</si>
  <si>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</si>
  <si>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</si>
  <si>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5291  00</t>
  </si>
  <si>
    <t>IA UTILITIES BOARD                   A</t>
  </si>
  <si>
    <t>5/16 AP 11/03/15 0403074 41328</t>
  </si>
  <si>
    <t>2016 ESTIMATED CHARGES</t>
  </si>
  <si>
    <t>530-4001-485.40-29</t>
  </si>
  <si>
    <t>10/90 T/D per prior year workpaper</t>
  </si>
  <si>
    <t>1/16 AP  7/13/15 0397230 40717</t>
  </si>
  <si>
    <t>2016 ASSESSMENTS</t>
  </si>
  <si>
    <t>530-4002-485.40-29</t>
  </si>
  <si>
    <t>100% distribution</t>
  </si>
  <si>
    <t>VENDOR TOTAL -</t>
  </si>
  <si>
    <t>IA Utilities Board Expenses</t>
  </si>
</sst>
</file>

<file path=xl/styles.xml><?xml version="1.0" encoding="utf-8"?>
<styleSheet xmlns="http://schemas.openxmlformats.org/spreadsheetml/2006/main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  <numFmt numFmtId="167" formatCode="0.0000%"/>
    <numFmt numFmtId="168" formatCode="[$-409]mmmm\-yy;@"/>
  </numFmts>
  <fonts count="38">
    <font>
      <sz val="10"/>
      <name val="Arial"/>
    </font>
    <font>
      <sz val="11"/>
      <color theme="1"/>
      <name val="Times New Roman"/>
      <family val="2"/>
    </font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color indexed="12"/>
      <name val="Arial"/>
    </font>
    <font>
      <sz val="10"/>
      <color indexed="12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Times New Roman"/>
      <family val="2"/>
    </font>
    <font>
      <sz val="12"/>
      <name val="Arial MT"/>
    </font>
    <font>
      <sz val="10"/>
      <color indexed="0"/>
      <name val="MS Sans Serif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FF33CC"/>
      <name val="Times New Roman"/>
      <family val="1"/>
    </font>
    <font>
      <sz val="11"/>
      <color rgb="FF00B0F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5" fillId="0" borderId="0" applyProtection="0"/>
    <xf numFmtId="0" fontId="11" fillId="0" borderId="0"/>
    <xf numFmtId="43" fontId="1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44" fontId="7" fillId="0" borderId="0" applyFont="0" applyFill="0" applyBorder="0" applyAlignment="0" applyProtection="0"/>
    <xf numFmtId="0" fontId="16" fillId="0" borderId="0"/>
    <xf numFmtId="0" fontId="7" fillId="0" borderId="0"/>
    <xf numFmtId="0" fontId="1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9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8" applyNumberFormat="0" applyFill="0" applyAlignment="0" applyProtection="0"/>
    <xf numFmtId="0" fontId="22" fillId="0" borderId="29" applyNumberFormat="0" applyFill="0" applyAlignment="0" applyProtection="0"/>
    <xf numFmtId="0" fontId="23" fillId="0" borderId="30" applyNumberFormat="0" applyFill="0" applyAlignment="0" applyProtection="0"/>
    <xf numFmtId="0" fontId="2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31" applyNumberFormat="0" applyAlignment="0" applyProtection="0"/>
    <xf numFmtId="0" fontId="28" fillId="15" borderId="32" applyNumberFormat="0" applyAlignment="0" applyProtection="0"/>
    <xf numFmtId="0" fontId="29" fillId="15" borderId="31" applyNumberFormat="0" applyAlignment="0" applyProtection="0"/>
    <xf numFmtId="0" fontId="30" fillId="0" borderId="33" applyNumberFormat="0" applyFill="0" applyAlignment="0" applyProtection="0"/>
    <xf numFmtId="0" fontId="31" fillId="16" borderId="3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6" applyNumberFormat="0" applyFill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35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35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7" fontId="0" fillId="0" borderId="0" xfId="0" applyNumberFormat="1"/>
    <xf numFmtId="0" fontId="4" fillId="0" borderId="0" xfId="0" applyFont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43" fontId="0" fillId="0" borderId="6" xfId="1" applyFont="1" applyBorder="1"/>
    <xf numFmtId="37" fontId="0" fillId="0" borderId="3" xfId="1" applyNumberFormat="1" applyFont="1" applyBorder="1"/>
    <xf numFmtId="37" fontId="0" fillId="0" borderId="4" xfId="1" applyNumberFormat="1" applyFont="1" applyBorder="1"/>
    <xf numFmtId="37" fontId="0" fillId="0" borderId="5" xfId="1" applyNumberFormat="1" applyFont="1" applyBorder="1"/>
    <xf numFmtId="37" fontId="0" fillId="0" borderId="0" xfId="1" applyNumberFormat="1" applyFont="1" applyBorder="1"/>
    <xf numFmtId="43" fontId="0" fillId="0" borderId="0" xfId="1" applyFont="1" applyBorder="1"/>
    <xf numFmtId="37" fontId="0" fillId="0" borderId="0" xfId="0" applyNumberFormat="1" applyBorder="1"/>
    <xf numFmtId="0" fontId="0" fillId="0" borderId="3" xfId="0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14" fontId="4" fillId="0" borderId="0" xfId="0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37" fontId="0" fillId="0" borderId="1" xfId="0" applyNumberFormat="1" applyBorder="1"/>
    <xf numFmtId="0" fontId="0" fillId="0" borderId="10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37" fontId="0" fillId="0" borderId="7" xfId="0" applyNumberFormat="1" applyBorder="1"/>
    <xf numFmtId="0" fontId="0" fillId="0" borderId="11" xfId="0" applyBorder="1"/>
    <xf numFmtId="0" fontId="0" fillId="0" borderId="0" xfId="0" applyFill="1" applyBorder="1"/>
    <xf numFmtId="0" fontId="0" fillId="0" borderId="12" xfId="0" applyFill="1" applyBorder="1"/>
    <xf numFmtId="0" fontId="0" fillId="0" borderId="4" xfId="0" applyFill="1" applyBorder="1" applyAlignment="1">
      <alignment horizontal="center"/>
    </xf>
    <xf numFmtId="37" fontId="0" fillId="0" borderId="6" xfId="0" applyNumberFormat="1" applyBorder="1"/>
    <xf numFmtId="0" fontId="0" fillId="0" borderId="13" xfId="0" applyBorder="1"/>
    <xf numFmtId="0" fontId="3" fillId="0" borderId="13" xfId="0" applyFont="1" applyBorder="1"/>
    <xf numFmtId="0" fontId="7" fillId="0" borderId="13" xfId="0" applyFont="1" applyBorder="1"/>
    <xf numFmtId="0" fontId="0" fillId="0" borderId="6" xfId="0" applyBorder="1"/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5" xfId="0" applyFont="1" applyFill="1" applyBorder="1"/>
    <xf numFmtId="0" fontId="0" fillId="0" borderId="11" xfId="0" applyFill="1" applyBorder="1" applyAlignment="1">
      <alignment horizontal="center"/>
    </xf>
    <xf numFmtId="37" fontId="3" fillId="0" borderId="16" xfId="1" applyNumberFormat="1" applyFont="1" applyBorder="1"/>
    <xf numFmtId="0" fontId="0" fillId="0" borderId="17" xfId="0" applyBorder="1"/>
    <xf numFmtId="0" fontId="3" fillId="0" borderId="18" xfId="0" applyFont="1" applyFill="1" applyBorder="1"/>
    <xf numFmtId="0" fontId="0" fillId="0" borderId="6" xfId="0" applyFill="1" applyBorder="1" applyAlignment="1">
      <alignment horizontal="center"/>
    </xf>
    <xf numFmtId="0" fontId="3" fillId="0" borderId="15" xfId="0" applyFont="1" applyBorder="1"/>
    <xf numFmtId="0" fontId="3" fillId="0" borderId="2" xfId="0" applyFont="1" applyBorder="1"/>
    <xf numFmtId="0" fontId="0" fillId="0" borderId="19" xfId="0" applyBorder="1" applyAlignment="1">
      <alignment horizontal="center"/>
    </xf>
    <xf numFmtId="37" fontId="3" fillId="0" borderId="6" xfId="1" applyNumberFormat="1" applyFont="1" applyBorder="1"/>
    <xf numFmtId="0" fontId="3" fillId="0" borderId="20" xfId="0" applyFont="1" applyBorder="1"/>
    <xf numFmtId="0" fontId="3" fillId="0" borderId="6" xfId="0" applyFont="1" applyBorder="1"/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0" fontId="0" fillId="0" borderId="4" xfId="0" quotePrefix="1" applyBorder="1" applyAlignment="1">
      <alignment horizontal="left" indent="1"/>
    </xf>
    <xf numFmtId="0" fontId="3" fillId="0" borderId="2" xfId="0" applyFont="1" applyFill="1" applyBorder="1"/>
    <xf numFmtId="0" fontId="3" fillId="0" borderId="21" xfId="0" applyFont="1" applyBorder="1"/>
    <xf numFmtId="37" fontId="8" fillId="0" borderId="4" xfId="1" applyNumberFormat="1" applyFont="1" applyBorder="1"/>
    <xf numFmtId="37" fontId="8" fillId="0" borderId="5" xfId="1" applyNumberFormat="1" applyFont="1" applyBorder="1"/>
    <xf numFmtId="37" fontId="8" fillId="0" borderId="3" xfId="1" applyNumberFormat="1" applyFont="1" applyBorder="1"/>
    <xf numFmtId="37" fontId="8" fillId="0" borderId="7" xfId="1" applyNumberFormat="1" applyFont="1" applyBorder="1"/>
    <xf numFmtId="164" fontId="8" fillId="0" borderId="4" xfId="1" applyNumberFormat="1" applyFont="1" applyBorder="1"/>
    <xf numFmtId="164" fontId="0" fillId="0" borderId="3" xfId="1" applyNumberFormat="1" applyFont="1" applyBorder="1"/>
    <xf numFmtId="164" fontId="8" fillId="0" borderId="6" xfId="1" applyNumberFormat="1" applyFont="1" applyBorder="1"/>
    <xf numFmtId="164" fontId="3" fillId="0" borderId="16" xfId="1" applyNumberFormat="1" applyFont="1" applyBorder="1"/>
    <xf numFmtId="164" fontId="8" fillId="0" borderId="5" xfId="1" applyNumberFormat="1" applyFont="1" applyBorder="1"/>
    <xf numFmtId="164" fontId="8" fillId="0" borderId="3" xfId="1" applyNumberFormat="1" applyFont="1" applyBorder="1"/>
    <xf numFmtId="164" fontId="3" fillId="0" borderId="3" xfId="1" applyNumberFormat="1" applyFont="1" applyBorder="1"/>
    <xf numFmtId="165" fontId="8" fillId="0" borderId="4" xfId="2" applyNumberFormat="1" applyFont="1" applyBorder="1"/>
    <xf numFmtId="164" fontId="0" fillId="0" borderId="4" xfId="1" applyNumberFormat="1" applyFont="1" applyBorder="1"/>
    <xf numFmtId="0" fontId="0" fillId="0" borderId="22" xfId="0" applyBorder="1" applyAlignment="1">
      <alignment horizontal="center"/>
    </xf>
    <xf numFmtId="165" fontId="3" fillId="0" borderId="16" xfId="2" applyNumberFormat="1" applyFont="1" applyBorder="1"/>
    <xf numFmtId="165" fontId="9" fillId="0" borderId="8" xfId="2" applyNumberFormat="1" applyFont="1" applyBorder="1"/>
    <xf numFmtId="164" fontId="9" fillId="0" borderId="8" xfId="1" applyNumberFormat="1" applyFont="1" applyBorder="1"/>
    <xf numFmtId="164" fontId="9" fillId="0" borderId="11" xfId="1" applyNumberFormat="1" applyFont="1" applyBorder="1"/>
    <xf numFmtId="164" fontId="9" fillId="0" borderId="7" xfId="1" applyNumberFormat="1" applyFont="1" applyBorder="1"/>
    <xf numFmtId="164" fontId="3" fillId="0" borderId="23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5" fontId="3" fillId="0" borderId="24" xfId="2" applyNumberFormat="1" applyFont="1" applyBorder="1"/>
    <xf numFmtId="165" fontId="0" fillId="0" borderId="5" xfId="2" applyNumberFormat="1" applyFont="1" applyBorder="1"/>
    <xf numFmtId="165" fontId="3" fillId="0" borderId="5" xfId="2" applyNumberFormat="1" applyFont="1" applyBorder="1"/>
    <xf numFmtId="164" fontId="3" fillId="0" borderId="5" xfId="1" applyNumberFormat="1" applyFont="1" applyBorder="1"/>
    <xf numFmtId="164" fontId="3" fillId="0" borderId="6" xfId="1" applyNumberFormat="1" applyFont="1" applyBorder="1"/>
    <xf numFmtId="165" fontId="3" fillId="0" borderId="4" xfId="2" applyNumberFormat="1" applyFont="1" applyBorder="1"/>
    <xf numFmtId="165" fontId="3" fillId="0" borderId="25" xfId="2" applyNumberFormat="1" applyFont="1" applyBorder="1"/>
    <xf numFmtId="165" fontId="3" fillId="0" borderId="14" xfId="2" applyNumberFormat="1" applyFont="1" applyBorder="1"/>
    <xf numFmtId="37" fontId="3" fillId="0" borderId="4" xfId="0" applyNumberFormat="1" applyFont="1" applyBorder="1"/>
    <xf numFmtId="37" fontId="8" fillId="0" borderId="10" xfId="0" applyNumberFormat="1" applyFont="1" applyBorder="1"/>
    <xf numFmtId="37" fontId="8" fillId="0" borderId="8" xfId="0" applyNumberFormat="1" applyFont="1" applyBorder="1"/>
    <xf numFmtId="0" fontId="0" fillId="0" borderId="12" xfId="0" applyBorder="1"/>
    <xf numFmtId="165" fontId="3" fillId="0" borderId="13" xfId="2" applyNumberFormat="1" applyFont="1" applyBorder="1"/>
    <xf numFmtId="165" fontId="3" fillId="0" borderId="23" xfId="2" applyNumberFormat="1" applyFont="1" applyBorder="1"/>
    <xf numFmtId="0" fontId="0" fillId="0" borderId="1" xfId="0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8" xfId="0" applyBorder="1" applyAlignment="1">
      <alignment horizontal="left" indent="1"/>
    </xf>
    <xf numFmtId="164" fontId="8" fillId="0" borderId="7" xfId="1" applyNumberFormat="1" applyFont="1" applyBorder="1"/>
    <xf numFmtId="164" fontId="8" fillId="0" borderId="8" xfId="1" applyNumberFormat="1" applyFont="1" applyBorder="1"/>
    <xf numFmtId="164" fontId="9" fillId="0" borderId="5" xfId="1" applyNumberFormat="1" applyFont="1" applyBorder="1"/>
    <xf numFmtId="164" fontId="9" fillId="0" borderId="6" xfId="1" applyNumberFormat="1" applyFont="1" applyBorder="1"/>
    <xf numFmtId="165" fontId="8" fillId="0" borderId="5" xfId="2" applyNumberFormat="1" applyFont="1" applyBorder="1"/>
    <xf numFmtId="165" fontId="8" fillId="0" borderId="8" xfId="2" applyNumberFormat="1" applyFont="1" applyBorder="1"/>
    <xf numFmtId="164" fontId="8" fillId="0" borderId="11" xfId="1" applyNumberFormat="1" applyFont="1" applyBorder="1"/>
    <xf numFmtId="37" fontId="8" fillId="0" borderId="7" xfId="0" applyNumberFormat="1" applyFont="1" applyBorder="1"/>
    <xf numFmtId="164" fontId="8" fillId="0" borderId="11" xfId="1" applyNumberFormat="1" applyFont="1" applyBorder="1" applyAlignment="1">
      <alignment horizontal="right"/>
    </xf>
    <xf numFmtId="165" fontId="2" fillId="0" borderId="8" xfId="2" applyNumberFormat="1" applyFont="1" applyBorder="1"/>
    <xf numFmtId="164" fontId="2" fillId="0" borderId="8" xfId="1" applyNumberFormat="1" applyFont="1" applyBorder="1"/>
    <xf numFmtId="164" fontId="2" fillId="0" borderId="7" xfId="1" applyNumberFormat="1" applyFont="1" applyBorder="1"/>
    <xf numFmtId="164" fontId="2" fillId="0" borderId="11" xfId="1" applyNumberFormat="1" applyFont="1" applyBorder="1"/>
    <xf numFmtId="164" fontId="8" fillId="0" borderId="8" xfId="1" applyNumberFormat="1" applyFont="1" applyBorder="1" applyAlignment="1">
      <alignment horizontal="right"/>
    </xf>
    <xf numFmtId="164" fontId="8" fillId="0" borderId="7" xfId="1" applyNumberFormat="1" applyFont="1" applyBorder="1" applyAlignment="1">
      <alignment horizontal="right"/>
    </xf>
    <xf numFmtId="37" fontId="8" fillId="0" borderId="7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37" fontId="0" fillId="0" borderId="27" xfId="0" applyNumberFormat="1" applyBorder="1"/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27" xfId="1" applyNumberFormat="1" applyFont="1" applyBorder="1"/>
    <xf numFmtId="0" fontId="18" fillId="0" borderId="0" xfId="6" applyFont="1"/>
    <xf numFmtId="164" fontId="18" fillId="0" borderId="0" xfId="1" applyNumberFormat="1" applyFont="1"/>
    <xf numFmtId="164" fontId="18" fillId="0" borderId="27" xfId="1" applyNumberFormat="1" applyFont="1" applyBorder="1"/>
    <xf numFmtId="0" fontId="18" fillId="0" borderId="0" xfId="6" applyFont="1"/>
    <xf numFmtId="0" fontId="0" fillId="0" borderId="0" xfId="0"/>
    <xf numFmtId="0" fontId="18" fillId="0" borderId="0" xfId="6" applyFont="1"/>
    <xf numFmtId="0" fontId="18" fillId="0" borderId="0" xfId="6" applyFont="1"/>
    <xf numFmtId="0" fontId="0" fillId="0" borderId="0" xfId="0"/>
    <xf numFmtId="0" fontId="18" fillId="0" borderId="0" xfId="6" applyFont="1"/>
    <xf numFmtId="0" fontId="18" fillId="0" borderId="0" xfId="6" applyFont="1" applyAlignment="1">
      <alignment horizontal="left" indent="1"/>
    </xf>
    <xf numFmtId="43" fontId="18" fillId="0" borderId="0" xfId="6" applyNumberFormat="1" applyFont="1"/>
    <xf numFmtId="0" fontId="18" fillId="0" borderId="0" xfId="6" applyFont="1"/>
    <xf numFmtId="0" fontId="18" fillId="0" borderId="0" xfId="6" applyFont="1" applyAlignment="1">
      <alignment horizontal="left" indent="1"/>
    </xf>
    <xf numFmtId="0" fontId="7" fillId="0" borderId="0" xfId="8"/>
    <xf numFmtId="0" fontId="19" fillId="10" borderId="0" xfId="6" applyFont="1" applyFill="1"/>
    <xf numFmtId="0" fontId="19" fillId="0" borderId="0" xfId="6" applyFont="1"/>
    <xf numFmtId="0" fontId="18" fillId="0" borderId="0" xfId="6" quotePrefix="1" applyFont="1"/>
    <xf numFmtId="43" fontId="19" fillId="0" borderId="0" xfId="7" applyFont="1"/>
    <xf numFmtId="43" fontId="19" fillId="0" borderId="12" xfId="7" applyFont="1" applyBorder="1"/>
    <xf numFmtId="43" fontId="19" fillId="0" borderId="1" xfId="7" applyFont="1" applyBorder="1"/>
    <xf numFmtId="41" fontId="19" fillId="0" borderId="0" xfId="7" applyNumberFormat="1" applyFont="1" applyFill="1" applyBorder="1"/>
    <xf numFmtId="41" fontId="19" fillId="0" borderId="0" xfId="7" applyNumberFormat="1" applyFont="1"/>
    <xf numFmtId="41" fontId="19" fillId="0" borderId="0" xfId="10" applyNumberFormat="1" applyFont="1"/>
    <xf numFmtId="41" fontId="18" fillId="0" borderId="0" xfId="6" applyNumberFormat="1" applyFont="1"/>
    <xf numFmtId="41" fontId="18" fillId="0" borderId="0" xfId="7" applyNumberFormat="1" applyFont="1"/>
    <xf numFmtId="41" fontId="18" fillId="0" borderId="27" xfId="6" applyNumberFormat="1" applyFont="1" applyBorder="1"/>
    <xf numFmtId="167" fontId="19" fillId="0" borderId="0" xfId="11" applyNumberFormat="1" applyFont="1"/>
    <xf numFmtId="43" fontId="19" fillId="0" borderId="27" xfId="7" applyFont="1" applyBorder="1"/>
    <xf numFmtId="43" fontId="19" fillId="0" borderId="0" xfId="7" applyFont="1" applyBorder="1"/>
    <xf numFmtId="43" fontId="19" fillId="10" borderId="0" xfId="7" applyFont="1" applyFill="1"/>
    <xf numFmtId="43" fontId="19" fillId="10" borderId="0" xfId="7" applyFont="1" applyFill="1" applyBorder="1"/>
    <xf numFmtId="0" fontId="18" fillId="0" borderId="0" xfId="6" applyFont="1"/>
    <xf numFmtId="0" fontId="7" fillId="0" borderId="0" xfId="8"/>
    <xf numFmtId="0" fontId="18" fillId="0" borderId="0" xfId="6" quotePrefix="1" applyFont="1"/>
    <xf numFmtId="41" fontId="19" fillId="0" borderId="0" xfId="7" applyNumberFormat="1" applyFont="1" applyFill="1" applyBorder="1"/>
    <xf numFmtId="41" fontId="19" fillId="0" borderId="0" xfId="7" applyNumberFormat="1" applyFont="1"/>
    <xf numFmtId="41" fontId="19" fillId="0" borderId="0" xfId="10" applyNumberFormat="1" applyFont="1"/>
    <xf numFmtId="41" fontId="18" fillId="0" borderId="0" xfId="7" applyNumberFormat="1" applyFont="1"/>
    <xf numFmtId="0" fontId="18" fillId="0" borderId="1" xfId="6" applyFont="1" applyBorder="1" applyAlignment="1">
      <alignment horizontal="center"/>
    </xf>
    <xf numFmtId="41" fontId="18" fillId="0" borderId="27" xfId="6" applyNumberFormat="1" applyFont="1" applyFill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6" fillId="0" borderId="0" xfId="0" quotePrefix="1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9" xfId="0" applyBorder="1" applyAlignment="1">
      <alignment horizontal="left"/>
    </xf>
    <xf numFmtId="164" fontId="19" fillId="0" borderId="19" xfId="1" applyNumberFormat="1" applyFont="1" applyBorder="1"/>
    <xf numFmtId="164" fontId="19" fillId="0" borderId="0" xfId="1" applyNumberFormat="1" applyFont="1" applyBorder="1"/>
    <xf numFmtId="0" fontId="7" fillId="0" borderId="0" xfId="8" applyFont="1"/>
    <xf numFmtId="0" fontId="19" fillId="0" borderId="0" xfId="6" applyFont="1"/>
    <xf numFmtId="0" fontId="19" fillId="0" borderId="0" xfId="6" applyFont="1" applyAlignment="1">
      <alignment horizontal="left" indent="1"/>
    </xf>
    <xf numFmtId="0" fontId="19" fillId="0" borderId="0" xfId="6" applyFont="1" applyAlignment="1">
      <alignment horizontal="left" indent="2"/>
    </xf>
    <xf numFmtId="43" fontId="19" fillId="0" borderId="0" xfId="6" applyNumberFormat="1" applyFont="1"/>
    <xf numFmtId="0" fontId="19" fillId="0" borderId="0" xfId="6" applyFont="1" applyFill="1"/>
    <xf numFmtId="43" fontId="19" fillId="0" borderId="27" xfId="6" applyNumberFormat="1" applyFont="1" applyBorder="1"/>
    <xf numFmtId="0" fontId="19" fillId="0" borderId="0" xfId="6" quotePrefix="1" applyFont="1"/>
    <xf numFmtId="164" fontId="19" fillId="0" borderId="0" xfId="15" applyNumberFormat="1" applyFont="1"/>
    <xf numFmtId="164" fontId="19" fillId="0" borderId="0" xfId="15" applyNumberFormat="1" applyFont="1" applyFill="1" applyBorder="1"/>
    <xf numFmtId="164" fontId="19" fillId="0" borderId="27" xfId="15" applyNumberFormat="1" applyFont="1" applyBorder="1"/>
    <xf numFmtId="0" fontId="7" fillId="0" borderId="0" xfId="8" applyFont="1"/>
    <xf numFmtId="43" fontId="19" fillId="0" borderId="0" xfId="7" applyNumberFormat="1" applyFont="1"/>
    <xf numFmtId="43" fontId="19" fillId="0" borderId="0" xfId="10" applyNumberFormat="1" applyFont="1"/>
    <xf numFmtId="43" fontId="19" fillId="0" borderId="27" xfId="7" applyNumberFormat="1" applyFont="1" applyBorder="1"/>
    <xf numFmtId="0" fontId="7" fillId="0" borderId="0" xfId="8"/>
    <xf numFmtId="0" fontId="19" fillId="0" borderId="0" xfId="6" applyFont="1"/>
    <xf numFmtId="0" fontId="19" fillId="0" borderId="0" xfId="6" applyFont="1" applyAlignment="1"/>
    <xf numFmtId="0" fontId="19" fillId="0" borderId="0" xfId="6" quotePrefix="1" applyFont="1" applyAlignment="1"/>
    <xf numFmtId="0" fontId="19" fillId="0" borderId="0" xfId="6" applyFont="1" applyAlignment="1">
      <alignment horizontal="left" indent="1"/>
    </xf>
    <xf numFmtId="0" fontId="19" fillId="0" borderId="0" xfId="6" applyFont="1" applyAlignment="1">
      <alignment horizontal="left" indent="2"/>
    </xf>
    <xf numFmtId="43" fontId="19" fillId="0" borderId="0" xfId="7" applyNumberFormat="1" applyFont="1" applyFill="1"/>
    <xf numFmtId="43" fontId="19" fillId="0" borderId="0" xfId="10" applyNumberFormat="1" applyFont="1" applyFill="1"/>
    <xf numFmtId="43" fontId="19" fillId="0" borderId="0" xfId="7" applyNumberFormat="1" applyFont="1" applyFill="1" applyBorder="1"/>
    <xf numFmtId="43" fontId="19" fillId="0" borderId="27" xfId="10" applyNumberFormat="1" applyFont="1" applyFill="1" applyBorder="1"/>
    <xf numFmtId="43" fontId="19" fillId="0" borderId="0" xfId="6" applyNumberFormat="1" applyFont="1"/>
    <xf numFmtId="0" fontId="37" fillId="0" borderId="0" xfId="6" applyFont="1"/>
    <xf numFmtId="0" fontId="37" fillId="0" borderId="0" xfId="6" applyFont="1" applyAlignment="1"/>
    <xf numFmtId="43" fontId="37" fillId="0" borderId="0" xfId="7" applyNumberFormat="1" applyFont="1"/>
    <xf numFmtId="0" fontId="37" fillId="0" borderId="0" xfId="6" applyFont="1" applyAlignment="1">
      <alignment horizontal="left" indent="2"/>
    </xf>
    <xf numFmtId="0" fontId="18" fillId="0" borderId="0" xfId="6" applyFont="1"/>
    <xf numFmtId="0" fontId="7" fillId="0" borderId="0" xfId="8"/>
    <xf numFmtId="0" fontId="18" fillId="0" borderId="0" xfId="6" quotePrefix="1" applyFont="1"/>
    <xf numFmtId="164" fontId="19" fillId="0" borderId="0" xfId="7" applyNumberFormat="1" applyFont="1"/>
    <xf numFmtId="168" fontId="18" fillId="0" borderId="0" xfId="6" quotePrefix="1" applyNumberFormat="1" applyFont="1" applyAlignment="1">
      <alignment horizontal="left"/>
    </xf>
    <xf numFmtId="0" fontId="18" fillId="0" borderId="0" xfId="6" applyFont="1" applyBorder="1"/>
    <xf numFmtId="0" fontId="18" fillId="0" borderId="0" xfId="6" applyFont="1" applyAlignment="1">
      <alignment horizontal="left"/>
    </xf>
    <xf numFmtId="164" fontId="19" fillId="0" borderId="1" xfId="7" applyNumberFormat="1" applyFont="1" applyBorder="1"/>
    <xf numFmtId="0" fontId="36" fillId="0" borderId="0" xfId="6" applyFont="1"/>
    <xf numFmtId="164" fontId="19" fillId="0" borderId="37" xfId="7" applyNumberFormat="1" applyFont="1" applyFill="1" applyBorder="1"/>
    <xf numFmtId="0" fontId="1" fillId="0" borderId="0" xfId="86"/>
    <xf numFmtId="43" fontId="1" fillId="0" borderId="0" xfId="87" applyFont="1"/>
    <xf numFmtId="0" fontId="1" fillId="34" borderId="0" xfId="86" applyFill="1"/>
    <xf numFmtId="43" fontId="1" fillId="34" borderId="0" xfId="87" applyFont="1" applyFill="1"/>
    <xf numFmtId="0" fontId="1" fillId="0" borderId="0" xfId="86" applyAlignment="1">
      <alignment horizontal="right"/>
    </xf>
    <xf numFmtId="43" fontId="1" fillId="0" borderId="27" xfId="87" applyFont="1" applyBorder="1"/>
  </cellXfs>
  <cellStyles count="89">
    <cellStyle name="20% - Accent1" xfId="59" builtinId="30" customBuiltin="1"/>
    <cellStyle name="20% - Accent2" xfId="63" builtinId="34" customBuiltin="1"/>
    <cellStyle name="20% - Accent2 2" xfId="19"/>
    <cellStyle name="20% - Accent3" xfId="67" builtinId="38" customBuiltin="1"/>
    <cellStyle name="20% - Accent3 2" xfId="20"/>
    <cellStyle name="20% - Accent4" xfId="71" builtinId="42" customBuiltin="1"/>
    <cellStyle name="20% - Accent5" xfId="75" builtinId="46" customBuiltin="1"/>
    <cellStyle name="20% - Accent5 2" xfId="21"/>
    <cellStyle name="20% - Accent6" xfId="79" builtinId="50" customBuiltin="1"/>
    <cellStyle name="20% - Accent6 2" xfId="22"/>
    <cellStyle name="40% - Accent1" xfId="60" builtinId="31" customBuiltin="1"/>
    <cellStyle name="40% - Accent1 2" xfId="23"/>
    <cellStyle name="40% - Accent2" xfId="64" builtinId="35" customBuiltin="1"/>
    <cellStyle name="40% - Accent2 2" xfId="24"/>
    <cellStyle name="40% - Accent3" xfId="68" builtinId="39" customBuiltin="1"/>
    <cellStyle name="40% - Accent3 2" xfId="25"/>
    <cellStyle name="40% - Accent4" xfId="72" builtinId="43" customBuiltin="1"/>
    <cellStyle name="40% - Accent5" xfId="76" builtinId="47" customBuiltin="1"/>
    <cellStyle name="40% - Accent6" xfId="80" builtinId="51" customBuiltin="1"/>
    <cellStyle name="40% - Accent6 2" xfId="26"/>
    <cellStyle name="60% - Accent1" xfId="61" builtinId="32" customBuiltin="1"/>
    <cellStyle name="60% - Accent2" xfId="65" builtinId="36" customBuiltin="1"/>
    <cellStyle name="60% - Accent3" xfId="69" builtinId="40" customBuiltin="1"/>
    <cellStyle name="60% - Accent4" xfId="73" builtinId="44" customBuiltin="1"/>
    <cellStyle name="60% - Accent5" xfId="77" builtinId="48" customBuiltin="1"/>
    <cellStyle name="60% - Accent6" xfId="81" builtinId="52" customBuiltin="1"/>
    <cellStyle name="Accent1" xfId="58" builtinId="29" customBuiltin="1"/>
    <cellStyle name="Accent2" xfId="62" builtinId="33" customBuiltin="1"/>
    <cellStyle name="Accent3" xfId="66" builtinId="37" customBuiltin="1"/>
    <cellStyle name="Accent4" xfId="70" builtinId="41" customBuiltin="1"/>
    <cellStyle name="Accent5" xfId="74" builtinId="45" customBuiltin="1"/>
    <cellStyle name="Accent6" xfId="78" builtinId="49" customBuiltin="1"/>
    <cellStyle name="Bad" xfId="48" builtinId="27" customBuiltin="1"/>
    <cellStyle name="Calculation" xfId="52" builtinId="22" customBuiltin="1"/>
    <cellStyle name="Check Cell" xfId="54" builtinId="23" customBuiltin="1"/>
    <cellStyle name="Comma" xfId="1" builtinId="3"/>
    <cellStyle name="Comma 2" xfId="7"/>
    <cellStyle name="Comma 2 2" xfId="14"/>
    <cellStyle name="Comma 3" xfId="17"/>
    <cellStyle name="Comma 3 2" xfId="40"/>
    <cellStyle name="Comma 3 2 2" xfId="87"/>
    <cellStyle name="Comma 3 3" xfId="83"/>
    <cellStyle name="Comma 4" xfId="15"/>
    <cellStyle name="Comma 5" xfId="3"/>
    <cellStyle name="Currency" xfId="2" builtinId="4"/>
    <cellStyle name="Currency 2" xfId="9"/>
    <cellStyle name="Currency 3" xfId="10"/>
    <cellStyle name="Currency 3 2" xfId="13"/>
    <cellStyle name="Currency 4" xfId="27"/>
    <cellStyle name="Currency 5" xfId="4"/>
    <cellStyle name="Explanatory Text" xfId="56" builtinId="53" customBuiltin="1"/>
    <cellStyle name="Good" xfId="47" builtinId="26" customBuiltin="1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Input" xfId="50" builtinId="20" customBuiltin="1"/>
    <cellStyle name="Linked Cell" xfId="53" builtinId="24" customBuiltin="1"/>
    <cellStyle name="Neutral" xfId="49" builtinId="28" customBuiltin="1"/>
    <cellStyle name="Normal" xfId="0" builtinId="0"/>
    <cellStyle name="Normal 10" xfId="5"/>
    <cellStyle name="Normal 2" xfId="6"/>
    <cellStyle name="Normal 2 2" xfId="8"/>
    <cellStyle name="Normal 2 3" xfId="28"/>
    <cellStyle name="Normal 3" xfId="12"/>
    <cellStyle name="Normal 3 2" xfId="29"/>
    <cellStyle name="Normal 3 3" xfId="30"/>
    <cellStyle name="Normal 4" xfId="16"/>
    <cellStyle name="Normal 4 2" xfId="31"/>
    <cellStyle name="Normal 4 3" xfId="39"/>
    <cellStyle name="Normal 4 3 2" xfId="86"/>
    <cellStyle name="Normal 4 4" xfId="82"/>
    <cellStyle name="Normal 5" xfId="32"/>
    <cellStyle name="Normal 5 2" xfId="33"/>
    <cellStyle name="Normal 6" xfId="34"/>
    <cellStyle name="Normal 7" xfId="35"/>
    <cellStyle name="Normal 8" xfId="36"/>
    <cellStyle name="Normal 9" xfId="37"/>
    <cellStyle name="Note 2" xfId="85"/>
    <cellStyle name="Output" xfId="51" builtinId="21" customBuiltin="1"/>
    <cellStyle name="Percent 2" xfId="11"/>
    <cellStyle name="Percent 3" xfId="18"/>
    <cellStyle name="Percent 3 2" xfId="41"/>
    <cellStyle name="Percent 3 2 2" xfId="88"/>
    <cellStyle name="Percent 3 3" xfId="84"/>
    <cellStyle name="Percent 4" xfId="38"/>
    <cellStyle name="Title" xfId="42" builtinId="15" customBuiltin="1"/>
    <cellStyle name="Total" xfId="57" builtinId="25" customBuiltin="1"/>
    <cellStyle name="Warning Text" xfId="5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F76"/>
  <sheetViews>
    <sheetView tabSelected="1" topLeftCell="A4" zoomScale="80" workbookViewId="0">
      <selection activeCell="F26" sqref="F26"/>
    </sheetView>
  </sheetViews>
  <sheetFormatPr defaultRowHeight="13.2"/>
  <cols>
    <col min="1" max="1" width="6.6640625" customWidth="1"/>
    <col min="2" max="2" width="39.6640625" customWidth="1"/>
    <col min="3" max="3" width="16.6640625" customWidth="1"/>
    <col min="4" max="4" width="6.6640625" customWidth="1"/>
    <col min="5" max="5" width="39.6640625" customWidth="1"/>
    <col min="6" max="6" width="16.6640625" customWidth="1"/>
  </cols>
  <sheetData>
    <row r="1" spans="1:6" ht="15.6">
      <c r="A1" s="174" t="s">
        <v>184</v>
      </c>
      <c r="B1" s="174"/>
      <c r="C1" s="174"/>
      <c r="D1" s="174"/>
      <c r="E1" s="174"/>
      <c r="F1" s="174"/>
    </row>
    <row r="2" spans="1:6" ht="15">
      <c r="A2" s="175" t="s">
        <v>0</v>
      </c>
      <c r="B2" s="175"/>
      <c r="C2" s="175"/>
      <c r="D2" s="175"/>
      <c r="E2" s="175"/>
      <c r="F2" s="175"/>
    </row>
    <row r="3" spans="1:6" ht="15">
      <c r="A3" s="175" t="s">
        <v>175</v>
      </c>
      <c r="B3" s="175"/>
      <c r="C3" s="175"/>
      <c r="D3" s="175"/>
      <c r="E3" s="175"/>
      <c r="F3" s="175"/>
    </row>
    <row r="4" spans="1:6" ht="15.6">
      <c r="A4" s="176" t="s">
        <v>185</v>
      </c>
      <c r="B4" s="177"/>
      <c r="C4" s="177"/>
      <c r="D4" s="177"/>
      <c r="E4" s="177"/>
      <c r="F4" s="177"/>
    </row>
    <row r="6" spans="1:6" ht="13.8">
      <c r="A6" s="178" t="s">
        <v>90</v>
      </c>
      <c r="B6" s="178"/>
      <c r="C6" s="178"/>
      <c r="D6" s="178"/>
      <c r="E6" s="178"/>
      <c r="F6" s="178"/>
    </row>
    <row r="7" spans="1:6">
      <c r="A7" s="28" t="s">
        <v>1</v>
      </c>
      <c r="B7" s="26"/>
      <c r="C7" s="24" t="s">
        <v>4</v>
      </c>
      <c r="D7" s="24" t="s">
        <v>1</v>
      </c>
      <c r="E7" s="26"/>
      <c r="F7" s="24" t="s">
        <v>4</v>
      </c>
    </row>
    <row r="8" spans="1:6">
      <c r="A8" s="30" t="s">
        <v>2</v>
      </c>
      <c r="B8" s="25" t="s">
        <v>3</v>
      </c>
      <c r="C8" s="25" t="s">
        <v>7</v>
      </c>
      <c r="D8" s="25" t="s">
        <v>5</v>
      </c>
      <c r="E8" s="25" t="s">
        <v>6</v>
      </c>
      <c r="F8" s="25" t="s">
        <v>7</v>
      </c>
    </row>
    <row r="9" spans="1:6">
      <c r="A9" s="29"/>
      <c r="B9" s="9" t="s">
        <v>21</v>
      </c>
      <c r="C9" s="14"/>
      <c r="D9" s="28"/>
      <c r="E9" s="9" t="s">
        <v>52</v>
      </c>
      <c r="F9" s="14"/>
    </row>
    <row r="10" spans="1:6">
      <c r="A10" s="29">
        <v>1</v>
      </c>
      <c r="B10" s="4" t="s">
        <v>8</v>
      </c>
      <c r="C10" s="15"/>
      <c r="D10" s="29"/>
      <c r="E10" s="4"/>
      <c r="F10" s="15"/>
    </row>
    <row r="11" spans="1:6">
      <c r="A11" s="30"/>
      <c r="B11" s="68" t="s">
        <v>9</v>
      </c>
      <c r="C11" s="84">
        <f>216912155-C12</f>
        <v>187407206</v>
      </c>
      <c r="D11" s="30">
        <v>29</v>
      </c>
      <c r="E11" s="5" t="s">
        <v>53</v>
      </c>
      <c r="F11" s="84">
        <v>0</v>
      </c>
    </row>
    <row r="12" spans="1:6">
      <c r="A12" s="31">
        <v>2</v>
      </c>
      <c r="B12" s="6" t="s">
        <v>10</v>
      </c>
      <c r="C12" s="74">
        <f>29504949</f>
        <v>29504949</v>
      </c>
      <c r="D12" s="31">
        <v>30</v>
      </c>
      <c r="E12" s="7" t="s">
        <v>54</v>
      </c>
      <c r="F12" s="17">
        <v>0</v>
      </c>
    </row>
    <row r="13" spans="1:6">
      <c r="A13" s="29">
        <v>3</v>
      </c>
      <c r="B13" s="4" t="s">
        <v>11</v>
      </c>
      <c r="C13" s="15"/>
      <c r="D13" s="29"/>
      <c r="E13" s="4"/>
      <c r="F13" s="15"/>
    </row>
    <row r="14" spans="1:6">
      <c r="A14" s="29"/>
      <c r="B14" s="67" t="s">
        <v>12</v>
      </c>
      <c r="C14" s="15"/>
      <c r="D14" s="29">
        <v>31</v>
      </c>
      <c r="E14" s="4" t="s">
        <v>55</v>
      </c>
      <c r="F14" s="15"/>
    </row>
    <row r="15" spans="1:6" ht="13.8" thickBot="1">
      <c r="A15" s="30"/>
      <c r="B15" s="68" t="s">
        <v>13</v>
      </c>
      <c r="C15" s="75">
        <f>119792774</f>
        <v>119792774</v>
      </c>
      <c r="D15" s="30"/>
      <c r="E15" s="68" t="s">
        <v>56</v>
      </c>
      <c r="F15" s="75">
        <f>121772532+1824766</f>
        <v>123597298</v>
      </c>
    </row>
    <row r="16" spans="1:6" ht="13.8" thickBot="1">
      <c r="A16" s="31">
        <v>4</v>
      </c>
      <c r="B16" s="59" t="s">
        <v>14</v>
      </c>
      <c r="C16" s="57">
        <f>+C11+C12-C15</f>
        <v>97119381</v>
      </c>
      <c r="D16" s="56">
        <v>32</v>
      </c>
      <c r="E16" s="55" t="s">
        <v>57</v>
      </c>
      <c r="F16" s="57">
        <f>+F15+F11+F12</f>
        <v>123597298</v>
      </c>
    </row>
    <row r="17" spans="1:6">
      <c r="A17" s="60">
        <v>5</v>
      </c>
      <c r="B17" s="21" t="s">
        <v>15</v>
      </c>
      <c r="C17" s="76">
        <v>0</v>
      </c>
      <c r="D17" s="29"/>
      <c r="E17" s="22" t="s">
        <v>58</v>
      </c>
      <c r="F17" s="15"/>
    </row>
    <row r="18" spans="1:6">
      <c r="A18" s="33">
        <v>6</v>
      </c>
      <c r="B18" s="58" t="s">
        <v>11</v>
      </c>
      <c r="C18" s="15"/>
      <c r="D18" s="24"/>
      <c r="E18" s="4"/>
      <c r="F18" s="15"/>
    </row>
    <row r="19" spans="1:6">
      <c r="A19" s="29"/>
      <c r="B19" s="67" t="s">
        <v>16</v>
      </c>
      <c r="C19" s="15"/>
      <c r="D19" s="29"/>
      <c r="E19" s="4"/>
      <c r="F19" s="15"/>
    </row>
    <row r="20" spans="1:6">
      <c r="A20" s="29"/>
      <c r="B20" s="67" t="s">
        <v>17</v>
      </c>
      <c r="C20" s="75">
        <v>0</v>
      </c>
      <c r="D20" s="30">
        <v>33</v>
      </c>
      <c r="E20" s="5" t="s">
        <v>59</v>
      </c>
      <c r="F20" s="73">
        <f>8700000</f>
        <v>8700000</v>
      </c>
    </row>
    <row r="21" spans="1:6" ht="13.8" thickBot="1">
      <c r="A21" s="63">
        <v>7</v>
      </c>
      <c r="B21" s="66" t="s">
        <v>18</v>
      </c>
      <c r="C21" s="64"/>
      <c r="D21" s="24">
        <v>34</v>
      </c>
      <c r="E21" s="21" t="s">
        <v>60</v>
      </c>
      <c r="F21" s="15"/>
    </row>
    <row r="22" spans="1:6" ht="13.8" thickBot="1">
      <c r="A22" s="30"/>
      <c r="B22" s="65" t="s">
        <v>19</v>
      </c>
      <c r="C22" s="57">
        <f>+C16+C17-C20</f>
        <v>97119381</v>
      </c>
      <c r="D22" s="25"/>
      <c r="E22" s="68" t="s">
        <v>61</v>
      </c>
      <c r="F22" s="16">
        <v>0</v>
      </c>
    </row>
    <row r="23" spans="1:6">
      <c r="A23" s="29"/>
      <c r="B23" s="8" t="s">
        <v>20</v>
      </c>
      <c r="C23" s="15"/>
      <c r="D23" s="29">
        <v>35</v>
      </c>
      <c r="E23" s="21" t="s">
        <v>62</v>
      </c>
      <c r="F23" s="15"/>
    </row>
    <row r="24" spans="1:6">
      <c r="A24" s="30">
        <v>8</v>
      </c>
      <c r="B24" s="5" t="s">
        <v>22</v>
      </c>
      <c r="C24" s="77">
        <v>0</v>
      </c>
      <c r="D24" s="30"/>
      <c r="E24" s="69" t="s">
        <v>63</v>
      </c>
      <c r="F24" s="77">
        <f>750183</f>
        <v>750183</v>
      </c>
    </row>
    <row r="25" spans="1:6">
      <c r="A25" s="29">
        <v>9</v>
      </c>
      <c r="B25" s="4" t="s">
        <v>11</v>
      </c>
      <c r="C25" s="78"/>
      <c r="D25" s="29">
        <v>36</v>
      </c>
      <c r="E25" s="21" t="s">
        <v>64</v>
      </c>
      <c r="F25" s="78"/>
    </row>
    <row r="26" spans="1:6">
      <c r="A26" s="30"/>
      <c r="B26" s="68" t="s">
        <v>23</v>
      </c>
      <c r="C26" s="77">
        <v>0</v>
      </c>
      <c r="D26" s="30"/>
      <c r="E26" s="68" t="s">
        <v>65</v>
      </c>
      <c r="F26" s="77">
        <v>0</v>
      </c>
    </row>
    <row r="27" spans="1:6" ht="13.8" thickBot="1">
      <c r="A27" s="29">
        <v>10</v>
      </c>
      <c r="B27" s="4" t="s">
        <v>24</v>
      </c>
      <c r="C27" s="78"/>
      <c r="D27" s="29"/>
      <c r="E27" s="21"/>
      <c r="F27" s="78"/>
    </row>
    <row r="28" spans="1:6" ht="13.8" thickBot="1">
      <c r="A28" s="30"/>
      <c r="B28" s="68" t="s">
        <v>25</v>
      </c>
      <c r="C28" s="77">
        <v>0</v>
      </c>
      <c r="D28" s="30">
        <v>37</v>
      </c>
      <c r="E28" s="71" t="s">
        <v>66</v>
      </c>
      <c r="F28" s="80">
        <f>+F20+F22+F24-F26</f>
        <v>9450183</v>
      </c>
    </row>
    <row r="29" spans="1:6" ht="13.8" thickBot="1">
      <c r="A29" s="31">
        <v>11</v>
      </c>
      <c r="B29" s="6" t="s">
        <v>26</v>
      </c>
      <c r="C29" s="79">
        <f>31686888</f>
        <v>31686888</v>
      </c>
      <c r="D29" s="30"/>
      <c r="E29" s="5"/>
      <c r="F29" s="85"/>
    </row>
    <row r="30" spans="1:6" ht="13.8" thickBot="1">
      <c r="A30" s="31">
        <v>12</v>
      </c>
      <c r="B30" s="61" t="s">
        <v>27</v>
      </c>
      <c r="C30" s="80">
        <f>+C24+C26+C28+C29</f>
        <v>31686888</v>
      </c>
      <c r="D30" s="25"/>
      <c r="E30" s="23" t="s">
        <v>67</v>
      </c>
      <c r="F30" s="85"/>
    </row>
    <row r="31" spans="1:6">
      <c r="A31" s="29"/>
      <c r="B31" s="8" t="s">
        <v>28</v>
      </c>
      <c r="C31" s="78"/>
      <c r="D31" s="31">
        <v>38</v>
      </c>
      <c r="E31" s="7" t="s">
        <v>68</v>
      </c>
      <c r="F31" s="81">
        <v>0</v>
      </c>
    </row>
    <row r="32" spans="1:6" ht="13.8" thickBot="1">
      <c r="A32" s="29">
        <v>13</v>
      </c>
      <c r="B32" s="4" t="s">
        <v>29</v>
      </c>
      <c r="C32" s="78"/>
      <c r="D32" s="31">
        <v>39</v>
      </c>
      <c r="E32" s="7" t="s">
        <v>69</v>
      </c>
      <c r="F32" s="79">
        <v>0</v>
      </c>
    </row>
    <row r="33" spans="1:6" ht="13.8" thickBot="1">
      <c r="A33" s="30"/>
      <c r="B33" s="68" t="s">
        <v>30</v>
      </c>
      <c r="C33" s="77">
        <f>3721592</f>
        <v>3721592</v>
      </c>
      <c r="D33" s="30">
        <v>40</v>
      </c>
      <c r="E33" s="62" t="s">
        <v>70</v>
      </c>
      <c r="F33" s="80">
        <f>SUM(F31:F32)</f>
        <v>0</v>
      </c>
    </row>
    <row r="34" spans="1:6">
      <c r="A34" s="29">
        <v>14</v>
      </c>
      <c r="B34" s="4" t="s">
        <v>31</v>
      </c>
      <c r="C34" s="78"/>
      <c r="D34" s="29"/>
      <c r="E34" s="4"/>
      <c r="F34" s="78"/>
    </row>
    <row r="35" spans="1:6">
      <c r="A35" s="30"/>
      <c r="B35" s="68" t="s">
        <v>32</v>
      </c>
      <c r="C35" s="77">
        <f>839492</f>
        <v>839492</v>
      </c>
      <c r="D35" s="30"/>
      <c r="E35" s="23" t="s">
        <v>71</v>
      </c>
      <c r="F35" s="85"/>
    </row>
    <row r="36" spans="1:6">
      <c r="A36" s="31">
        <v>15</v>
      </c>
      <c r="B36" s="6" t="s">
        <v>33</v>
      </c>
      <c r="C36" s="81">
        <f>5899290</f>
        <v>5899290</v>
      </c>
      <c r="D36" s="30">
        <v>41</v>
      </c>
      <c r="E36" s="5" t="s">
        <v>72</v>
      </c>
      <c r="F36" s="77">
        <v>0</v>
      </c>
    </row>
    <row r="37" spans="1:6">
      <c r="A37" s="29">
        <v>16</v>
      </c>
      <c r="B37" s="4" t="s">
        <v>11</v>
      </c>
      <c r="C37" s="78"/>
      <c r="D37" s="29"/>
      <c r="E37" s="4"/>
      <c r="F37" s="78"/>
    </row>
    <row r="38" spans="1:6">
      <c r="A38" s="30"/>
      <c r="B38" s="68" t="s">
        <v>34</v>
      </c>
      <c r="C38" s="77">
        <f>17000</f>
        <v>17000</v>
      </c>
      <c r="D38" s="30">
        <v>42</v>
      </c>
      <c r="E38" s="5" t="s">
        <v>73</v>
      </c>
      <c r="F38" s="77">
        <f>5143553</f>
        <v>5143553</v>
      </c>
    </row>
    <row r="39" spans="1:6">
      <c r="A39" s="29">
        <v>17</v>
      </c>
      <c r="B39" s="4" t="s">
        <v>35</v>
      </c>
      <c r="C39" s="78" t="s">
        <v>171</v>
      </c>
      <c r="D39" s="29">
        <v>43</v>
      </c>
      <c r="E39" s="21" t="s">
        <v>75</v>
      </c>
      <c r="F39" s="78"/>
    </row>
    <row r="40" spans="1:6">
      <c r="A40" s="30"/>
      <c r="B40" s="68" t="s">
        <v>36</v>
      </c>
      <c r="C40" s="77">
        <f>482816</f>
        <v>482816</v>
      </c>
      <c r="D40" s="30"/>
      <c r="E40" s="68" t="s">
        <v>74</v>
      </c>
      <c r="F40" s="77">
        <v>0</v>
      </c>
    </row>
    <row r="41" spans="1:6">
      <c r="A41" s="31">
        <v>18</v>
      </c>
      <c r="B41" s="6" t="s">
        <v>37</v>
      </c>
      <c r="C41" s="81">
        <f>2115151</f>
        <v>2115151</v>
      </c>
      <c r="D41" s="30">
        <v>44</v>
      </c>
      <c r="E41" s="5" t="s">
        <v>76</v>
      </c>
      <c r="F41" s="77">
        <f>835880</f>
        <v>835880</v>
      </c>
    </row>
    <row r="42" spans="1:6">
      <c r="A42" s="31">
        <v>19</v>
      </c>
      <c r="B42" s="6" t="s">
        <v>38</v>
      </c>
      <c r="C42" s="81">
        <v>0</v>
      </c>
      <c r="D42" s="30">
        <v>45</v>
      </c>
      <c r="E42" s="5" t="s">
        <v>77</v>
      </c>
      <c r="F42" s="77">
        <v>0</v>
      </c>
    </row>
    <row r="43" spans="1:6">
      <c r="A43" s="31">
        <v>20</v>
      </c>
      <c r="B43" s="6" t="s">
        <v>39</v>
      </c>
      <c r="C43" s="81">
        <f>75821</f>
        <v>75821</v>
      </c>
      <c r="D43" s="30">
        <v>46</v>
      </c>
      <c r="E43" s="5" t="s">
        <v>78</v>
      </c>
      <c r="F43" s="77">
        <f>18285</f>
        <v>18285</v>
      </c>
    </row>
    <row r="44" spans="1:6" ht="13.8" thickBot="1">
      <c r="A44" s="32">
        <v>21</v>
      </c>
      <c r="B44" s="6" t="s">
        <v>40</v>
      </c>
      <c r="C44" s="81">
        <v>0</v>
      </c>
      <c r="D44" s="30">
        <v>47</v>
      </c>
      <c r="E44" s="5" t="s">
        <v>79</v>
      </c>
      <c r="F44" s="82">
        <f>3141514</f>
        <v>3141514</v>
      </c>
    </row>
    <row r="45" spans="1:6" ht="13.8" thickBot="1">
      <c r="A45" s="32">
        <v>22</v>
      </c>
      <c r="B45" s="6" t="s">
        <v>41</v>
      </c>
      <c r="C45" s="79">
        <f>30451</f>
        <v>30451</v>
      </c>
      <c r="D45" s="30">
        <v>48</v>
      </c>
      <c r="E45" s="62" t="s">
        <v>80</v>
      </c>
      <c r="F45" s="80">
        <f>+F44+F43+F42+F41+F40+F38+F36</f>
        <v>9139232</v>
      </c>
    </row>
    <row r="46" spans="1:6" ht="13.8" thickBot="1">
      <c r="A46" s="32">
        <v>23</v>
      </c>
      <c r="B46" s="61" t="s">
        <v>42</v>
      </c>
      <c r="C46" s="80">
        <f>+C33+C35+C36-C38+C40+C42+C43+C44+C45+C41</f>
        <v>13147613</v>
      </c>
      <c r="D46" s="25"/>
      <c r="E46" s="23" t="s">
        <v>84</v>
      </c>
      <c r="F46" s="85"/>
    </row>
    <row r="47" spans="1:6">
      <c r="A47" s="4"/>
      <c r="B47" s="8" t="s">
        <v>50</v>
      </c>
      <c r="C47" s="78"/>
      <c r="D47" s="33">
        <v>49</v>
      </c>
      <c r="E47" s="21" t="s">
        <v>85</v>
      </c>
      <c r="F47" s="78"/>
    </row>
    <row r="48" spans="1:6">
      <c r="A48" s="47">
        <v>24</v>
      </c>
      <c r="B48" s="5" t="s">
        <v>43</v>
      </c>
      <c r="C48" s="77">
        <v>0</v>
      </c>
      <c r="D48" s="30"/>
      <c r="E48" s="70" t="s">
        <v>86</v>
      </c>
      <c r="F48" s="77">
        <v>0</v>
      </c>
    </row>
    <row r="49" spans="1:6">
      <c r="A49" s="33">
        <v>25</v>
      </c>
      <c r="B49" s="4" t="s">
        <v>44</v>
      </c>
      <c r="C49" s="78"/>
      <c r="D49" s="33">
        <v>50</v>
      </c>
      <c r="E49" s="4" t="s">
        <v>87</v>
      </c>
      <c r="F49" s="78"/>
    </row>
    <row r="50" spans="1:6">
      <c r="A50" s="5"/>
      <c r="B50" s="68" t="s">
        <v>45</v>
      </c>
      <c r="C50" s="77">
        <v>0</v>
      </c>
      <c r="D50" s="30"/>
      <c r="E50" s="68" t="s">
        <v>88</v>
      </c>
      <c r="F50" s="77">
        <f>146806</f>
        <v>146806</v>
      </c>
    </row>
    <row r="51" spans="1:6">
      <c r="A51" s="33">
        <v>26</v>
      </c>
      <c r="B51" s="4" t="s">
        <v>46</v>
      </c>
      <c r="C51" s="78"/>
      <c r="D51" s="29"/>
      <c r="E51" s="4"/>
      <c r="F51" s="78"/>
    </row>
    <row r="52" spans="1:6">
      <c r="A52" s="29"/>
      <c r="B52" s="67" t="s">
        <v>47</v>
      </c>
      <c r="C52" s="78"/>
      <c r="D52" s="29">
        <v>51</v>
      </c>
      <c r="E52" s="4" t="s">
        <v>83</v>
      </c>
      <c r="F52" s="78"/>
    </row>
    <row r="53" spans="1:6" ht="13.8" thickBot="1">
      <c r="A53" s="30"/>
      <c r="B53" s="68" t="s">
        <v>48</v>
      </c>
      <c r="C53" s="82">
        <v>379637</v>
      </c>
      <c r="D53" s="30"/>
      <c r="E53" s="70" t="s">
        <v>89</v>
      </c>
      <c r="F53" s="82">
        <v>0</v>
      </c>
    </row>
    <row r="54" spans="1:6" ht="13.8" thickBot="1">
      <c r="A54" s="31">
        <v>27</v>
      </c>
      <c r="B54" s="61" t="s">
        <v>49</v>
      </c>
      <c r="C54" s="80">
        <f>C48+C50+C53</f>
        <v>379637</v>
      </c>
      <c r="D54" s="25">
        <v>52</v>
      </c>
      <c r="E54" s="62" t="s">
        <v>82</v>
      </c>
      <c r="F54" s="80">
        <f>+F53+F50+F48</f>
        <v>146806</v>
      </c>
    </row>
    <row r="55" spans="1:6" ht="13.8" thickBot="1">
      <c r="A55" s="29"/>
      <c r="B55" s="12"/>
      <c r="C55" s="83"/>
      <c r="D55" s="29"/>
      <c r="E55" s="4"/>
      <c r="F55" s="78"/>
    </row>
    <row r="56" spans="1:6" ht="13.8" thickBot="1">
      <c r="A56" s="34">
        <v>28</v>
      </c>
      <c r="B56" s="72" t="s">
        <v>51</v>
      </c>
      <c r="C56" s="87">
        <f>+C54+C46+C21+C22+C30</f>
        <v>142333519</v>
      </c>
      <c r="D56" s="86">
        <v>53</v>
      </c>
      <c r="E56" s="72" t="s">
        <v>81</v>
      </c>
      <c r="F56" s="87">
        <f>+F54+F45+F28+F16+F33</f>
        <v>142333519</v>
      </c>
    </row>
    <row r="57" spans="1:6">
      <c r="A57" s="2"/>
      <c r="B57" s="2"/>
      <c r="C57" s="18"/>
      <c r="D57" s="2"/>
      <c r="E57" s="2"/>
      <c r="F57" s="19">
        <f>+C56-F56</f>
        <v>0</v>
      </c>
    </row>
    <row r="58" spans="1:6">
      <c r="A58" s="2"/>
      <c r="B58" s="2"/>
      <c r="C58" s="18"/>
      <c r="D58" s="2"/>
      <c r="E58" s="2"/>
      <c r="F58" s="19"/>
    </row>
    <row r="59" spans="1:6">
      <c r="A59" s="2"/>
      <c r="B59" s="2"/>
      <c r="C59" s="20"/>
      <c r="D59" s="2"/>
      <c r="E59" s="2"/>
      <c r="F59" s="19"/>
    </row>
    <row r="60" spans="1:6">
      <c r="A60" s="2"/>
      <c r="B60" s="2"/>
      <c r="C60" s="20"/>
      <c r="D60" s="2"/>
      <c r="E60" s="2"/>
      <c r="F60" s="19"/>
    </row>
    <row r="61" spans="1:6">
      <c r="A61" s="2"/>
      <c r="B61" s="2"/>
      <c r="C61" s="20"/>
      <c r="D61" s="2"/>
      <c r="E61" s="2"/>
      <c r="F61" s="19"/>
    </row>
    <row r="62" spans="1:6">
      <c r="A62" s="2"/>
      <c r="B62" s="2"/>
      <c r="C62" s="20"/>
      <c r="D62" s="2"/>
      <c r="E62" s="2"/>
      <c r="F62" s="19"/>
    </row>
    <row r="63" spans="1:6">
      <c r="A63" s="2"/>
      <c r="B63" s="2"/>
      <c r="C63" s="20"/>
      <c r="D63" s="2"/>
      <c r="E63" s="2"/>
      <c r="F63" s="19"/>
    </row>
    <row r="64" spans="1:6">
      <c r="A64" s="2"/>
      <c r="B64" s="2"/>
      <c r="C64" s="20"/>
      <c r="D64" s="2"/>
      <c r="E64" s="2"/>
      <c r="F64" s="2"/>
    </row>
    <row r="65" spans="1:6">
      <c r="A65" s="2"/>
      <c r="B65" s="2"/>
      <c r="C65" s="20"/>
      <c r="D65" s="2"/>
      <c r="E65" s="2"/>
      <c r="F65" s="2"/>
    </row>
    <row r="66" spans="1:6">
      <c r="A66" s="2"/>
      <c r="B66" s="2"/>
      <c r="C66" s="20"/>
      <c r="D66" s="2"/>
      <c r="E66" s="2"/>
      <c r="F66" s="2"/>
    </row>
    <row r="67" spans="1:6">
      <c r="A67" s="2"/>
      <c r="B67" s="2"/>
      <c r="C67" s="20"/>
      <c r="D67" s="2"/>
      <c r="E67" s="2"/>
      <c r="F67" s="2"/>
    </row>
    <row r="68" spans="1:6">
      <c r="A68" s="2"/>
      <c r="B68" s="2"/>
      <c r="C68" s="20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2" spans="1:6">
      <c r="A72" s="2"/>
      <c r="B72" s="2"/>
      <c r="C72" s="2"/>
      <c r="D72" s="2"/>
      <c r="E72" s="2"/>
      <c r="F72" s="2"/>
    </row>
    <row r="73" spans="1:6">
      <c r="A73" s="2"/>
      <c r="B73" s="2"/>
      <c r="C73" s="2"/>
      <c r="D73" s="2"/>
      <c r="E73" s="2"/>
      <c r="F73" s="2"/>
    </row>
    <row r="74" spans="1:6">
      <c r="A74" s="2"/>
      <c r="B74" s="2"/>
      <c r="C74" s="2"/>
      <c r="D74" s="2"/>
      <c r="E74" s="2"/>
      <c r="F74" s="2"/>
    </row>
    <row r="75" spans="1:6">
      <c r="A75" s="2"/>
      <c r="B75" s="2"/>
      <c r="C75" s="2"/>
      <c r="D75" s="2"/>
      <c r="E75" s="2"/>
      <c r="F75" s="2"/>
    </row>
    <row r="76" spans="1:6">
      <c r="A76" s="2"/>
      <c r="B76" s="2"/>
      <c r="C76" s="2"/>
      <c r="D76" s="2"/>
      <c r="E76" s="2"/>
      <c r="F76" s="2"/>
    </row>
  </sheetData>
  <mergeCells count="5">
    <mergeCell ref="A1:F1"/>
    <mergeCell ref="A2:F2"/>
    <mergeCell ref="A4:F4"/>
    <mergeCell ref="A6:F6"/>
    <mergeCell ref="A3:F3"/>
  </mergeCells>
  <phoneticPr fontId="0" type="noConversion"/>
  <pageMargins left="0.47" right="0.45" top="1" bottom="0.5" header="0.5" footer="0.5"/>
  <pageSetup scale="76" orientation="portrait" r:id="rId1"/>
  <headerFooter alignWithMargins="0">
    <oddFooter>&amp;L&amp;Z&amp;F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J25"/>
  <sheetViews>
    <sheetView workbookViewId="0">
      <selection activeCell="E28" sqref="E28"/>
    </sheetView>
  </sheetViews>
  <sheetFormatPr defaultRowHeight="13.2"/>
  <cols>
    <col min="1" max="1" width="17.109375" customWidth="1"/>
    <col min="2" max="2" width="10.77734375" customWidth="1"/>
  </cols>
  <sheetData>
    <row r="1" spans="1:3" ht="13.8">
      <c r="A1" s="214" t="s">
        <v>184</v>
      </c>
      <c r="B1" s="215"/>
      <c r="C1" s="215"/>
    </row>
    <row r="2" spans="1:3" ht="13.8">
      <c r="A2" s="214" t="s">
        <v>332</v>
      </c>
      <c r="B2" s="215"/>
      <c r="C2" s="215"/>
    </row>
    <row r="3" spans="1:3" ht="13.8">
      <c r="A3" s="216" t="s">
        <v>185</v>
      </c>
      <c r="B3" s="215"/>
      <c r="C3" s="215"/>
    </row>
    <row r="4" spans="1:3" ht="13.8">
      <c r="A4" s="216"/>
      <c r="B4" s="215"/>
      <c r="C4" s="215"/>
    </row>
    <row r="6" spans="1:3" ht="13.8">
      <c r="A6" s="214" t="s">
        <v>333</v>
      </c>
      <c r="B6" s="215"/>
      <c r="C6" s="215"/>
    </row>
    <row r="7" spans="1:3" ht="13.8">
      <c r="A7" s="215"/>
      <c r="B7" s="217"/>
      <c r="C7" s="215"/>
    </row>
    <row r="8" spans="1:3" ht="13.8">
      <c r="A8" s="218" t="s">
        <v>340</v>
      </c>
      <c r="B8" s="183">
        <f>135774</f>
        <v>135774</v>
      </c>
      <c r="C8" s="215"/>
    </row>
    <row r="9" spans="1:3" ht="13.8">
      <c r="A9" s="218" t="s">
        <v>341</v>
      </c>
      <c r="B9" s="183">
        <v>124571</v>
      </c>
      <c r="C9" s="215"/>
    </row>
    <row r="10" spans="1:3" ht="13.8">
      <c r="A10" s="218" t="s">
        <v>342</v>
      </c>
      <c r="B10" s="183">
        <v>135964</v>
      </c>
      <c r="C10" s="215"/>
    </row>
    <row r="11" spans="1:3" ht="13.8">
      <c r="A11" s="218" t="s">
        <v>343</v>
      </c>
      <c r="B11" s="183">
        <v>96972</v>
      </c>
      <c r="C11" s="215"/>
    </row>
    <row r="12" spans="1:3" ht="13.8">
      <c r="A12" s="218" t="s">
        <v>344</v>
      </c>
      <c r="B12" s="183">
        <v>88841</v>
      </c>
      <c r="C12" s="215"/>
    </row>
    <row r="13" spans="1:3" ht="13.8">
      <c r="A13" s="218" t="s">
        <v>345</v>
      </c>
      <c r="B13" s="183">
        <v>88628</v>
      </c>
      <c r="C13" s="215"/>
    </row>
    <row r="14" spans="1:3" ht="13.8">
      <c r="A14" s="218" t="s">
        <v>346</v>
      </c>
      <c r="B14" s="183">
        <v>94713</v>
      </c>
      <c r="C14" s="219"/>
    </row>
    <row r="15" spans="1:3" ht="13.8">
      <c r="A15" s="218" t="s">
        <v>347</v>
      </c>
      <c r="B15" s="183">
        <v>79792</v>
      </c>
      <c r="C15" s="219"/>
    </row>
    <row r="16" spans="1:3" ht="13.8">
      <c r="A16" s="218" t="s">
        <v>348</v>
      </c>
      <c r="B16" s="183">
        <v>88027</v>
      </c>
      <c r="C16" s="219"/>
    </row>
    <row r="17" spans="1:10" ht="13.8">
      <c r="A17" s="218" t="s">
        <v>349</v>
      </c>
      <c r="B17" s="183">
        <v>89062</v>
      </c>
      <c r="C17" s="219"/>
      <c r="D17" s="215"/>
      <c r="E17" s="215"/>
      <c r="F17" s="215"/>
      <c r="G17" s="215"/>
      <c r="H17" s="215"/>
      <c r="I17" s="215"/>
      <c r="J17" s="215"/>
    </row>
    <row r="18" spans="1:10" ht="13.8">
      <c r="A18" s="218" t="s">
        <v>350</v>
      </c>
      <c r="B18" s="183">
        <v>103973</v>
      </c>
      <c r="C18" s="219"/>
      <c r="D18" s="215"/>
      <c r="E18" s="215"/>
      <c r="F18" s="215"/>
      <c r="G18" s="215"/>
      <c r="H18" s="215"/>
      <c r="I18" s="215"/>
      <c r="J18" s="215"/>
    </row>
    <row r="19" spans="1:10" ht="13.8">
      <c r="A19" s="218" t="s">
        <v>351</v>
      </c>
      <c r="B19" s="183">
        <v>129764</v>
      </c>
      <c r="C19" s="219"/>
      <c r="D19" s="215"/>
      <c r="E19" s="215"/>
      <c r="F19" s="215"/>
      <c r="G19" s="215"/>
      <c r="H19" s="215"/>
      <c r="I19" s="215"/>
      <c r="J19" s="215"/>
    </row>
    <row r="20" spans="1:10" ht="13.8">
      <c r="A20" s="220" t="s">
        <v>334</v>
      </c>
      <c r="B20" s="182">
        <f>SUM(B8:B19)</f>
        <v>1256081</v>
      </c>
      <c r="C20" s="215"/>
      <c r="D20" s="215"/>
      <c r="E20" s="215"/>
      <c r="F20" s="215"/>
      <c r="G20" s="215"/>
      <c r="H20" s="215"/>
      <c r="I20" s="215"/>
      <c r="J20" s="215"/>
    </row>
    <row r="21" spans="1:10" ht="13.8">
      <c r="A21" s="214" t="s">
        <v>335</v>
      </c>
      <c r="B21" s="221">
        <v>12</v>
      </c>
      <c r="C21" s="215"/>
      <c r="D21" s="215"/>
      <c r="E21" s="215"/>
      <c r="F21" s="215"/>
      <c r="G21" s="215"/>
      <c r="H21" s="215"/>
      <c r="I21" s="215"/>
      <c r="J21" s="215"/>
    </row>
    <row r="22" spans="1:10" ht="14.4" thickBot="1">
      <c r="A22" s="214" t="s">
        <v>336</v>
      </c>
      <c r="B22" s="223">
        <f>B20/B21</f>
        <v>104673.41666666667</v>
      </c>
      <c r="C22" s="214" t="s">
        <v>337</v>
      </c>
      <c r="D22" s="215"/>
      <c r="E22" s="215"/>
      <c r="F22" s="215"/>
      <c r="G22" s="215"/>
      <c r="H22" s="215"/>
      <c r="I22" s="215"/>
      <c r="J22" s="215"/>
    </row>
    <row r="23" spans="1:10" ht="13.8" thickTop="1">
      <c r="A23" s="215"/>
      <c r="B23" s="215"/>
      <c r="C23" s="215"/>
      <c r="D23" s="215"/>
      <c r="E23" s="215"/>
      <c r="F23" s="215"/>
      <c r="G23" s="215"/>
      <c r="H23" s="215"/>
      <c r="I23" s="215"/>
      <c r="J23" s="215"/>
    </row>
    <row r="25" spans="1:10" ht="13.8">
      <c r="A25" s="214" t="s">
        <v>338</v>
      </c>
      <c r="B25" s="215"/>
      <c r="C25" s="215"/>
      <c r="D25" s="215"/>
      <c r="E25" s="215"/>
      <c r="F25" s="215"/>
      <c r="G25" s="215"/>
      <c r="H25" s="215"/>
      <c r="I25" s="215"/>
      <c r="J25" s="222" t="s">
        <v>339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6"/>
  <sheetViews>
    <sheetView workbookViewId="0">
      <selection activeCell="D28" sqref="D28"/>
    </sheetView>
  </sheetViews>
  <sheetFormatPr defaultRowHeight="13.2"/>
  <cols>
    <col min="2" max="2" width="33.109375" bestFit="1" customWidth="1"/>
    <col min="3" max="3" width="27.21875" bestFit="1" customWidth="1"/>
    <col min="4" max="4" width="17.88671875" bestFit="1" customWidth="1"/>
    <col min="6" max="6" width="11.44140625" bestFit="1" customWidth="1"/>
    <col min="7" max="7" width="30.5546875" bestFit="1" customWidth="1"/>
  </cols>
  <sheetData>
    <row r="1" spans="1:9" ht="13.8">
      <c r="A1" s="214" t="s">
        <v>184</v>
      </c>
    </row>
    <row r="2" spans="1:9" ht="13.8">
      <c r="A2" s="214" t="s">
        <v>363</v>
      </c>
    </row>
    <row r="3" spans="1:9" ht="13.8">
      <c r="A3" s="216" t="s">
        <v>185</v>
      </c>
    </row>
    <row r="8" spans="1:9" ht="13.8">
      <c r="A8" s="224" t="s">
        <v>352</v>
      </c>
      <c r="B8" s="224" t="s">
        <v>353</v>
      </c>
      <c r="C8" s="224"/>
      <c r="D8" s="224"/>
      <c r="E8" s="224"/>
      <c r="F8" s="224"/>
      <c r="G8" s="224"/>
      <c r="H8" s="224"/>
      <c r="I8" s="224"/>
    </row>
    <row r="9" spans="1:9" ht="13.8">
      <c r="A9" s="224">
        <v>1892</v>
      </c>
      <c r="B9" s="224" t="s">
        <v>354</v>
      </c>
      <c r="C9" s="224" t="s">
        <v>355</v>
      </c>
      <c r="D9" s="224" t="s">
        <v>356</v>
      </c>
      <c r="E9" s="224"/>
      <c r="F9" s="225">
        <v>48691.49</v>
      </c>
      <c r="G9" s="224" t="s">
        <v>357</v>
      </c>
      <c r="H9" s="224"/>
      <c r="I9" s="224"/>
    </row>
    <row r="10" spans="1:9" ht="13.8">
      <c r="A10" s="224">
        <v>147</v>
      </c>
      <c r="B10" s="224" t="s">
        <v>358</v>
      </c>
      <c r="C10" s="226" t="s">
        <v>359</v>
      </c>
      <c r="D10" s="226" t="s">
        <v>360</v>
      </c>
      <c r="E10" s="226"/>
      <c r="F10" s="227">
        <v>56406</v>
      </c>
      <c r="G10" s="226" t="s">
        <v>361</v>
      </c>
      <c r="H10" s="226"/>
      <c r="I10" s="226"/>
    </row>
    <row r="11" spans="1:9" ht="13.8">
      <c r="A11" s="224"/>
      <c r="B11" s="224"/>
      <c r="C11" s="224"/>
      <c r="D11" s="224" t="s">
        <v>362</v>
      </c>
      <c r="E11" s="224">
        <v>0</v>
      </c>
      <c r="F11" s="225">
        <v>105097.49</v>
      </c>
      <c r="G11" s="224"/>
      <c r="H11" s="224"/>
      <c r="I11" s="224"/>
    </row>
    <row r="14" spans="1:9" ht="13.8">
      <c r="A14" s="224"/>
      <c r="B14" s="224"/>
      <c r="C14" s="224"/>
      <c r="D14" s="224"/>
      <c r="E14" s="228" t="s">
        <v>217</v>
      </c>
      <c r="F14" s="225">
        <v>100228.341</v>
      </c>
      <c r="G14" s="224"/>
      <c r="H14" s="224"/>
      <c r="I14" s="224"/>
    </row>
    <row r="15" spans="1:9" ht="13.8">
      <c r="A15" s="224"/>
      <c r="B15" s="224"/>
      <c r="C15" s="224"/>
      <c r="D15" s="224"/>
      <c r="E15" s="228" t="s">
        <v>226</v>
      </c>
      <c r="F15" s="225">
        <v>4869.1490000000003</v>
      </c>
      <c r="G15" s="224"/>
      <c r="H15" s="224"/>
      <c r="I15" s="224"/>
    </row>
    <row r="16" spans="1:9" ht="14.4" thickBot="1">
      <c r="A16" s="224"/>
      <c r="B16" s="224"/>
      <c r="C16" s="224"/>
      <c r="D16" s="224"/>
      <c r="E16" s="224"/>
      <c r="F16" s="229">
        <v>105097.49</v>
      </c>
      <c r="G16" s="224"/>
      <c r="H16" s="224"/>
      <c r="I16" s="2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F53"/>
  <sheetViews>
    <sheetView topLeftCell="A7" zoomScale="90" workbookViewId="0">
      <selection activeCell="C24" sqref="C24"/>
    </sheetView>
  </sheetViews>
  <sheetFormatPr defaultRowHeight="13.2"/>
  <cols>
    <col min="1" max="1" width="6.6640625" customWidth="1"/>
    <col min="2" max="2" width="77.109375" customWidth="1"/>
    <col min="3" max="3" width="16.6640625" customWidth="1"/>
  </cols>
  <sheetData>
    <row r="1" spans="1:6" ht="15.6">
      <c r="A1" s="174" t="str">
        <f>+'Balance sheet'!A1:F1</f>
        <v>City of Ames - Ames Municipal Electric System</v>
      </c>
      <c r="B1" s="174"/>
      <c r="C1" s="174"/>
      <c r="D1" s="36"/>
      <c r="E1" s="36"/>
      <c r="F1" s="36"/>
    </row>
    <row r="2" spans="1:6" ht="15">
      <c r="A2" s="175" t="s">
        <v>0</v>
      </c>
      <c r="B2" s="175"/>
      <c r="C2" s="175"/>
      <c r="D2" s="36"/>
      <c r="E2" s="36"/>
      <c r="F2" s="36"/>
    </row>
    <row r="3" spans="1:6" ht="15">
      <c r="A3" s="175" t="s">
        <v>176</v>
      </c>
      <c r="B3" s="175"/>
      <c r="C3" s="175"/>
      <c r="D3" s="36"/>
      <c r="E3" s="36"/>
      <c r="F3" s="36"/>
    </row>
    <row r="4" spans="1:6" ht="15.6">
      <c r="A4" s="177" t="str">
        <f>+'Balance sheet'!A4:F4</f>
        <v>June 30, 2016</v>
      </c>
      <c r="B4" s="177"/>
      <c r="C4" s="177"/>
      <c r="D4" s="37"/>
      <c r="E4" s="37"/>
      <c r="F4" s="37"/>
    </row>
    <row r="5" spans="1:6">
      <c r="A5" s="35"/>
      <c r="B5" s="35"/>
      <c r="C5" s="35"/>
      <c r="D5" s="35"/>
      <c r="E5" s="35"/>
      <c r="F5" s="35"/>
    </row>
    <row r="6" spans="1:6" ht="13.8">
      <c r="A6" s="178" t="s">
        <v>91</v>
      </c>
      <c r="B6" s="178"/>
      <c r="C6" s="178"/>
      <c r="D6" s="38"/>
      <c r="E6" s="38"/>
      <c r="F6" s="38"/>
    </row>
    <row r="7" spans="1:6">
      <c r="A7" s="52" t="s">
        <v>1</v>
      </c>
      <c r="B7" s="40"/>
      <c r="C7" s="42" t="s">
        <v>93</v>
      </c>
    </row>
    <row r="8" spans="1:6">
      <c r="A8" s="5" t="s">
        <v>2</v>
      </c>
      <c r="B8" s="41"/>
      <c r="C8" s="25" t="s">
        <v>7</v>
      </c>
    </row>
    <row r="9" spans="1:6">
      <c r="A9" s="30">
        <v>1</v>
      </c>
      <c r="B9" s="41" t="s">
        <v>92</v>
      </c>
      <c r="C9" s="88">
        <f>58511422</f>
        <v>58511422</v>
      </c>
    </row>
    <row r="10" spans="1:6">
      <c r="A10" s="30">
        <v>2</v>
      </c>
      <c r="B10" s="41" t="s">
        <v>94</v>
      </c>
      <c r="C10" s="89">
        <f>49884294+1174710</f>
        <v>51059004</v>
      </c>
    </row>
    <row r="11" spans="1:6">
      <c r="A11" s="30">
        <v>3</v>
      </c>
      <c r="B11" s="41" t="s">
        <v>95</v>
      </c>
      <c r="C11" s="89">
        <v>0</v>
      </c>
    </row>
    <row r="12" spans="1:6">
      <c r="A12" s="31">
        <v>4</v>
      </c>
      <c r="B12" s="44" t="s">
        <v>96</v>
      </c>
      <c r="C12" s="90">
        <f>4192996+126326</f>
        <v>4319322</v>
      </c>
    </row>
    <row r="13" spans="1:6">
      <c r="A13" s="30">
        <v>5</v>
      </c>
      <c r="B13" s="41" t="s">
        <v>97</v>
      </c>
      <c r="C13" s="89">
        <v>0</v>
      </c>
    </row>
    <row r="14" spans="1:6" ht="13.8" thickBot="1">
      <c r="A14" s="29">
        <v>6</v>
      </c>
      <c r="B14" s="26" t="s">
        <v>98</v>
      </c>
      <c r="C14" s="91">
        <v>0</v>
      </c>
    </row>
    <row r="15" spans="1:6" ht="13.8" thickBot="1">
      <c r="A15" s="53">
        <v>7</v>
      </c>
      <c r="B15" s="49" t="s">
        <v>99</v>
      </c>
      <c r="C15" s="92">
        <f>SUM(C10:C14)</f>
        <v>55378326</v>
      </c>
    </row>
    <row r="16" spans="1:6" ht="13.8" thickBot="1">
      <c r="A16" s="53">
        <v>8</v>
      </c>
      <c r="B16" s="50" t="s">
        <v>100</v>
      </c>
      <c r="C16" s="92">
        <f>+C9-C15</f>
        <v>3133096</v>
      </c>
    </row>
    <row r="17" spans="1:3" ht="13.8" thickBot="1">
      <c r="A17" s="29">
        <v>9</v>
      </c>
      <c r="B17" s="26" t="s">
        <v>101</v>
      </c>
      <c r="C17" s="112"/>
    </row>
    <row r="18" spans="1:3" ht="13.8" thickBot="1">
      <c r="A18" s="54">
        <v>10</v>
      </c>
      <c r="B18" s="51" t="s">
        <v>102</v>
      </c>
      <c r="C18" s="92">
        <f>+C17+C16</f>
        <v>3133096</v>
      </c>
    </row>
    <row r="19" spans="1:3">
      <c r="A19" s="30">
        <v>11</v>
      </c>
      <c r="B19" s="41" t="s">
        <v>103</v>
      </c>
      <c r="C19" s="113">
        <f>19828+294230+38883</f>
        <v>352941</v>
      </c>
    </row>
    <row r="20" spans="1:3">
      <c r="A20" s="30">
        <v>12</v>
      </c>
      <c r="B20" s="41" t="s">
        <v>104</v>
      </c>
      <c r="C20" s="113"/>
    </row>
    <row r="21" spans="1:3">
      <c r="A21" s="30">
        <v>13</v>
      </c>
      <c r="B21" s="41" t="s">
        <v>105</v>
      </c>
      <c r="C21" s="113"/>
    </row>
    <row r="22" spans="1:3" ht="13.8" thickBot="1">
      <c r="A22" s="29">
        <v>14</v>
      </c>
      <c r="B22" s="26" t="s">
        <v>106</v>
      </c>
      <c r="C22" s="112">
        <f>2119027</f>
        <v>2119027</v>
      </c>
    </row>
    <row r="23" spans="1:3" ht="13.8" thickBot="1">
      <c r="A23" s="53">
        <v>15</v>
      </c>
      <c r="B23" s="49" t="s">
        <v>107</v>
      </c>
      <c r="C23" s="92">
        <f>+C18+C19-C20-C21-C22</f>
        <v>1367010</v>
      </c>
    </row>
    <row r="24" spans="1:3">
      <c r="A24" s="30">
        <v>16</v>
      </c>
      <c r="B24" s="41" t="s">
        <v>108</v>
      </c>
      <c r="C24" s="113">
        <f>93748</f>
        <v>93748</v>
      </c>
    </row>
    <row r="25" spans="1:3">
      <c r="A25" s="30">
        <v>17</v>
      </c>
      <c r="B25" s="41" t="s">
        <v>109</v>
      </c>
      <c r="C25" s="113">
        <v>0</v>
      </c>
    </row>
    <row r="26" spans="1:3" ht="13.8" thickBot="1">
      <c r="A26" s="29">
        <v>18</v>
      </c>
      <c r="B26" s="26" t="s">
        <v>110</v>
      </c>
      <c r="C26" s="112">
        <v>0</v>
      </c>
    </row>
    <row r="27" spans="1:3" ht="13.8" thickBot="1">
      <c r="A27" s="53">
        <v>19</v>
      </c>
      <c r="B27" s="49" t="s">
        <v>111</v>
      </c>
      <c r="C27" s="92">
        <f>SUM(C24:C26)</f>
        <v>93748</v>
      </c>
    </row>
    <row r="28" spans="1:3" ht="13.8" thickBot="1">
      <c r="A28" s="53">
        <v>20</v>
      </c>
      <c r="B28" s="49" t="s">
        <v>112</v>
      </c>
      <c r="C28" s="92">
        <f>+C23-C27</f>
        <v>1273262</v>
      </c>
    </row>
    <row r="29" spans="1:3">
      <c r="A29" s="30">
        <v>21</v>
      </c>
      <c r="B29" s="41" t="s">
        <v>113</v>
      </c>
      <c r="C29" s="113">
        <v>0</v>
      </c>
    </row>
    <row r="30" spans="1:3" ht="13.8" thickBot="1">
      <c r="A30" s="29">
        <v>22</v>
      </c>
      <c r="B30" s="26" t="s">
        <v>114</v>
      </c>
      <c r="C30" s="112">
        <v>0</v>
      </c>
    </row>
    <row r="31" spans="1:3" ht="13.8" thickBot="1">
      <c r="A31" s="53">
        <v>23</v>
      </c>
      <c r="B31" s="50" t="s">
        <v>115</v>
      </c>
      <c r="C31" s="95">
        <f>SUM(C28:C30)</f>
        <v>1273262</v>
      </c>
    </row>
    <row r="32" spans="1:3">
      <c r="A32" s="2"/>
      <c r="B32" s="2"/>
      <c r="C32" s="20"/>
    </row>
    <row r="33" spans="1:4">
      <c r="A33" s="2"/>
      <c r="B33" s="2"/>
      <c r="C33" s="20"/>
      <c r="D33" s="2"/>
    </row>
    <row r="34" spans="1:4">
      <c r="A34" s="2"/>
      <c r="B34" s="128" t="s">
        <v>186</v>
      </c>
      <c r="C34" s="20">
        <f>1399588</f>
        <v>1399588</v>
      </c>
      <c r="D34" s="2"/>
    </row>
    <row r="35" spans="1:4">
      <c r="A35" s="2"/>
      <c r="B35" s="129" t="s">
        <v>187</v>
      </c>
      <c r="C35" s="20">
        <f>C31</f>
        <v>1273262</v>
      </c>
      <c r="D35" s="2"/>
    </row>
    <row r="36" spans="1:4" ht="13.8" thickBot="1">
      <c r="A36" s="2"/>
      <c r="B36" s="129" t="s">
        <v>188</v>
      </c>
      <c r="C36" s="130">
        <f>C34-C35</f>
        <v>126326</v>
      </c>
      <c r="D36" s="2"/>
    </row>
    <row r="37" spans="1:4" ht="13.8" thickTop="1">
      <c r="A37" s="2"/>
      <c r="B37" s="2"/>
      <c r="C37" s="20"/>
      <c r="D37" s="2"/>
    </row>
    <row r="38" spans="1:4">
      <c r="A38" s="2" t="s">
        <v>189</v>
      </c>
      <c r="B38" s="2"/>
      <c r="C38" s="20"/>
      <c r="D38" s="2"/>
    </row>
    <row r="39" spans="1:4">
      <c r="A39" s="2" t="s">
        <v>190</v>
      </c>
      <c r="B39" s="2"/>
      <c r="C39" s="20"/>
      <c r="D39" s="2"/>
    </row>
    <row r="40" spans="1:4">
      <c r="A40" s="2"/>
      <c r="B40" s="2"/>
      <c r="C40" s="20"/>
      <c r="D40" s="2"/>
    </row>
    <row r="41" spans="1:4">
      <c r="A41" s="2"/>
      <c r="B41" s="2"/>
      <c r="C41" s="20"/>
      <c r="D41" s="2"/>
    </row>
    <row r="42" spans="1:4">
      <c r="A42" s="2"/>
      <c r="B42" s="2"/>
      <c r="C42" s="20"/>
      <c r="D42" s="2"/>
    </row>
    <row r="43" spans="1:4">
      <c r="A43" s="2"/>
      <c r="B43" s="2"/>
      <c r="C43" s="20"/>
      <c r="D43" s="2"/>
    </row>
    <row r="44" spans="1:4">
      <c r="C44" s="10"/>
    </row>
    <row r="45" spans="1:4">
      <c r="C45" s="10"/>
    </row>
    <row r="46" spans="1:4">
      <c r="C46" s="10"/>
    </row>
    <row r="47" spans="1:4">
      <c r="C47" s="10"/>
    </row>
    <row r="48" spans="1:4">
      <c r="C48" s="10"/>
    </row>
    <row r="49" spans="3:3">
      <c r="C49" s="10"/>
    </row>
    <row r="50" spans="3:3">
      <c r="C50" s="10"/>
    </row>
    <row r="51" spans="3:3">
      <c r="C51" s="10"/>
    </row>
    <row r="52" spans="3:3">
      <c r="C52" s="10"/>
    </row>
    <row r="53" spans="3:3">
      <c r="C53" s="10"/>
    </row>
  </sheetData>
  <mergeCells count="5">
    <mergeCell ref="A1:C1"/>
    <mergeCell ref="A2:C2"/>
    <mergeCell ref="A4:C4"/>
    <mergeCell ref="A6:C6"/>
    <mergeCell ref="A3:C3"/>
  </mergeCells>
  <phoneticPr fontId="0" type="noConversion"/>
  <pageMargins left="0.75" right="0.75" top="1" bottom="1" header="0.5" footer="0.5"/>
  <pageSetup scale="89" orientation="portrait" horizontalDpi="4294967293" r:id="rId1"/>
  <headerFooter alignWithMargins="0">
    <oddFooter>&amp;L&amp;Z&amp;F
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G46"/>
  <sheetViews>
    <sheetView topLeftCell="A10" zoomScale="90" workbookViewId="0">
      <selection activeCell="F25" sqref="F25"/>
    </sheetView>
  </sheetViews>
  <sheetFormatPr defaultRowHeight="13.2"/>
  <cols>
    <col min="1" max="1" width="6.6640625" customWidth="1"/>
    <col min="2" max="2" width="29.33203125" customWidth="1"/>
    <col min="3" max="7" width="15.6640625" customWidth="1"/>
  </cols>
  <sheetData>
    <row r="1" spans="1:7" ht="15.6">
      <c r="A1" s="174" t="str">
        <f>+'Balance sheet'!A1:F1</f>
        <v>City of Ames - Ames Municipal Electric System</v>
      </c>
      <c r="B1" s="174"/>
      <c r="C1" s="174"/>
      <c r="D1" s="174"/>
      <c r="E1" s="174"/>
      <c r="F1" s="174"/>
      <c r="G1" s="174"/>
    </row>
    <row r="2" spans="1:7" ht="15">
      <c r="A2" s="175" t="s">
        <v>0</v>
      </c>
      <c r="B2" s="175"/>
      <c r="C2" s="175"/>
      <c r="D2" s="175"/>
      <c r="E2" s="175"/>
      <c r="F2" s="175"/>
      <c r="G2" s="175"/>
    </row>
    <row r="3" spans="1:7" ht="15">
      <c r="A3" s="175" t="s">
        <v>177</v>
      </c>
      <c r="B3" s="175"/>
      <c r="C3" s="175"/>
      <c r="D3" s="175"/>
      <c r="E3" s="175"/>
      <c r="F3" s="175"/>
      <c r="G3" s="175"/>
    </row>
    <row r="4" spans="1:7" ht="15.6">
      <c r="A4" s="177" t="str">
        <f>+'Balance sheet'!A4:F4</f>
        <v>June 30, 2016</v>
      </c>
      <c r="B4" s="177"/>
      <c r="C4" s="177"/>
      <c r="D4" s="177"/>
      <c r="E4" s="177"/>
      <c r="F4" s="177"/>
      <c r="G4" s="177"/>
    </row>
    <row r="5" spans="1:7">
      <c r="A5" s="35"/>
      <c r="B5" s="35"/>
      <c r="C5" s="35"/>
    </row>
    <row r="6" spans="1:7" ht="13.8">
      <c r="A6" s="178" t="s">
        <v>21</v>
      </c>
      <c r="B6" s="178"/>
      <c r="C6" s="178"/>
      <c r="D6" s="178"/>
      <c r="E6" s="178"/>
      <c r="F6" s="178"/>
      <c r="G6" s="178"/>
    </row>
    <row r="7" spans="1:7">
      <c r="A7" s="28" t="s">
        <v>1</v>
      </c>
      <c r="B7" s="42"/>
      <c r="C7" s="42" t="s">
        <v>116</v>
      </c>
      <c r="D7" s="42"/>
      <c r="E7" s="42"/>
      <c r="F7" s="42"/>
      <c r="G7" s="42" t="s">
        <v>121</v>
      </c>
    </row>
    <row r="8" spans="1:7">
      <c r="A8" s="30" t="s">
        <v>2</v>
      </c>
      <c r="B8" s="25"/>
      <c r="C8" s="25" t="s">
        <v>117</v>
      </c>
      <c r="D8" s="25" t="s">
        <v>118</v>
      </c>
      <c r="E8" s="25" t="s">
        <v>119</v>
      </c>
      <c r="F8" s="25" t="s">
        <v>120</v>
      </c>
      <c r="G8" s="25" t="s">
        <v>117</v>
      </c>
    </row>
    <row r="9" spans="1:7" ht="20.100000000000001" customHeight="1">
      <c r="A9" s="31">
        <v>1</v>
      </c>
      <c r="B9" s="6" t="s">
        <v>122</v>
      </c>
      <c r="C9" s="116">
        <v>0</v>
      </c>
      <c r="D9" s="116">
        <v>0</v>
      </c>
      <c r="E9" s="116">
        <v>0</v>
      </c>
      <c r="F9" s="116">
        <v>0</v>
      </c>
      <c r="G9" s="97">
        <f t="shared" ref="G9:G17" si="0">+C9+D9-E9-F9</f>
        <v>0</v>
      </c>
    </row>
    <row r="10" spans="1:7" ht="12.75" customHeight="1">
      <c r="A10" s="31"/>
      <c r="B10" s="6"/>
      <c r="C10" s="96"/>
      <c r="D10" s="96"/>
      <c r="E10" s="96"/>
      <c r="F10" s="96"/>
      <c r="G10" s="97"/>
    </row>
    <row r="11" spans="1:7" ht="20.100000000000001" customHeight="1">
      <c r="A11" s="31">
        <v>2</v>
      </c>
      <c r="B11" s="6" t="s">
        <v>123</v>
      </c>
      <c r="C11" s="114">
        <f>115614215</f>
        <v>115614215</v>
      </c>
      <c r="D11" s="114">
        <f>890370</f>
        <v>890370</v>
      </c>
      <c r="E11" s="114">
        <v>0</v>
      </c>
      <c r="F11" s="114"/>
      <c r="G11" s="98">
        <f t="shared" si="0"/>
        <v>116504585</v>
      </c>
    </row>
    <row r="12" spans="1:7" ht="20.100000000000001" customHeight="1">
      <c r="A12" s="31">
        <v>3</v>
      </c>
      <c r="B12" s="6" t="s">
        <v>124</v>
      </c>
      <c r="C12" s="114">
        <v>0</v>
      </c>
      <c r="D12" s="114">
        <v>0</v>
      </c>
      <c r="E12" s="114">
        <v>0</v>
      </c>
      <c r="F12" s="114">
        <v>0</v>
      </c>
      <c r="G12" s="98">
        <f t="shared" si="0"/>
        <v>0</v>
      </c>
    </row>
    <row r="13" spans="1:7" ht="20.100000000000001" customHeight="1">
      <c r="A13" s="31">
        <v>4</v>
      </c>
      <c r="B13" s="6" t="s">
        <v>125</v>
      </c>
      <c r="C13" s="114">
        <v>0</v>
      </c>
      <c r="D13" s="114">
        <v>0</v>
      </c>
      <c r="E13" s="114">
        <v>0</v>
      </c>
      <c r="F13" s="114">
        <v>0</v>
      </c>
      <c r="G13" s="98">
        <f t="shared" si="0"/>
        <v>0</v>
      </c>
    </row>
    <row r="14" spans="1:7" ht="20.100000000000001" customHeight="1" thickBot="1">
      <c r="A14" s="31">
        <v>5</v>
      </c>
      <c r="B14" s="6" t="s">
        <v>126</v>
      </c>
      <c r="C14" s="115">
        <v>0</v>
      </c>
      <c r="D14" s="115">
        <v>0</v>
      </c>
      <c r="E14" s="115">
        <v>0</v>
      </c>
      <c r="F14" s="115"/>
      <c r="G14" s="99">
        <f t="shared" si="0"/>
        <v>0</v>
      </c>
    </row>
    <row r="15" spans="1:7" ht="20.100000000000001" customHeight="1" thickBot="1">
      <c r="A15" s="31">
        <v>6</v>
      </c>
      <c r="B15" s="61" t="s">
        <v>127</v>
      </c>
      <c r="C15" s="101">
        <f>SUM(C11:C14)</f>
        <v>115614215</v>
      </c>
      <c r="D15" s="102">
        <f>SUM(D11:D14)</f>
        <v>890370</v>
      </c>
      <c r="E15" s="102">
        <f>SUM(E11:E14)</f>
        <v>0</v>
      </c>
      <c r="F15" s="102">
        <f>SUM(F11:F14)</f>
        <v>0</v>
      </c>
      <c r="G15" s="95">
        <f t="shared" si="0"/>
        <v>116504585</v>
      </c>
    </row>
    <row r="16" spans="1:7" ht="12" customHeight="1">
      <c r="A16" s="31"/>
      <c r="B16" s="13"/>
      <c r="C16" s="100"/>
      <c r="D16" s="100"/>
      <c r="E16" s="100"/>
      <c r="F16" s="100"/>
      <c r="G16" s="100"/>
    </row>
    <row r="17" spans="1:7" ht="20.100000000000001" customHeight="1">
      <c r="A17" s="31">
        <v>7</v>
      </c>
      <c r="B17" s="6" t="s">
        <v>129</v>
      </c>
      <c r="C17" s="114">
        <f>34181298</f>
        <v>34181298</v>
      </c>
      <c r="D17" s="114">
        <f>295376</f>
        <v>295376</v>
      </c>
      <c r="E17" s="114"/>
      <c r="F17" s="114"/>
      <c r="G17" s="98">
        <f t="shared" si="0"/>
        <v>34476674</v>
      </c>
    </row>
    <row r="18" spans="1:7" ht="20.100000000000001" customHeight="1">
      <c r="A18" s="31">
        <v>8</v>
      </c>
      <c r="B18" s="6" t="s">
        <v>130</v>
      </c>
      <c r="C18" s="114">
        <f>30465628</f>
        <v>30465628</v>
      </c>
      <c r="D18" s="114">
        <f>286826</f>
        <v>286826</v>
      </c>
      <c r="E18" s="114">
        <v>0</v>
      </c>
      <c r="F18" s="114">
        <v>0</v>
      </c>
      <c r="G18" s="98">
        <f>+C18+D18-E18-F18</f>
        <v>30752454</v>
      </c>
    </row>
    <row r="19" spans="1:7" ht="20.100000000000001" customHeight="1" thickBot="1">
      <c r="A19" s="31">
        <v>9</v>
      </c>
      <c r="B19" s="6" t="s">
        <v>131</v>
      </c>
      <c r="C19" s="115">
        <f>5444623</f>
        <v>5444623</v>
      </c>
      <c r="D19" s="115">
        <f>712321</f>
        <v>712321</v>
      </c>
      <c r="E19" s="115">
        <f>483451</f>
        <v>483451</v>
      </c>
      <c r="F19" s="115">
        <v>0</v>
      </c>
      <c r="G19" s="99">
        <f>+C19+D19-E19-F19</f>
        <v>5673493</v>
      </c>
    </row>
    <row r="20" spans="1:7" ht="20.100000000000001" customHeight="1" thickBot="1">
      <c r="A20" s="31">
        <v>10</v>
      </c>
      <c r="B20" s="61" t="s">
        <v>132</v>
      </c>
      <c r="C20" s="101">
        <f>SUM(C15:C19)+C9</f>
        <v>185705764</v>
      </c>
      <c r="D20" s="101">
        <f>SUM(D15:D19)+D9</f>
        <v>2184893</v>
      </c>
      <c r="E20" s="101">
        <f>SUM(E15:E19)+E9</f>
        <v>483451</v>
      </c>
      <c r="F20" s="101">
        <f>SUM(F15:F19)+F9</f>
        <v>0</v>
      </c>
      <c r="G20" s="95">
        <f>+C20+D20-E20-F20</f>
        <v>187407206</v>
      </c>
    </row>
    <row r="21" spans="1:7" ht="11.25" customHeight="1">
      <c r="A21" s="31"/>
      <c r="B21" s="13"/>
      <c r="C21" s="100"/>
      <c r="D21" s="100"/>
      <c r="E21" s="100"/>
      <c r="F21" s="100"/>
      <c r="G21" s="100"/>
    </row>
    <row r="22" spans="1:7" ht="20.100000000000001" customHeight="1">
      <c r="A22" s="31">
        <v>11</v>
      </c>
      <c r="B22" s="6" t="s">
        <v>133</v>
      </c>
      <c r="C22" s="114">
        <v>0</v>
      </c>
      <c r="D22" s="114">
        <v>0</v>
      </c>
      <c r="E22" s="114">
        <v>0</v>
      </c>
      <c r="F22" s="114">
        <v>0</v>
      </c>
      <c r="G22" s="98">
        <f>+C22+D22-E22-F22</f>
        <v>0</v>
      </c>
    </row>
    <row r="23" spans="1:7" ht="20.100000000000001" customHeight="1">
      <c r="A23" s="31">
        <v>12</v>
      </c>
      <c r="B23" s="6" t="s">
        <v>134</v>
      </c>
      <c r="C23" s="114">
        <v>0</v>
      </c>
      <c r="D23" s="114">
        <v>0</v>
      </c>
      <c r="E23" s="114">
        <v>0</v>
      </c>
      <c r="F23" s="114">
        <v>0</v>
      </c>
      <c r="G23" s="98">
        <f>+C23+D23-E23-F23</f>
        <v>0</v>
      </c>
    </row>
    <row r="24" spans="1:7" ht="20.100000000000001" customHeight="1" thickBot="1">
      <c r="A24" s="31">
        <v>13</v>
      </c>
      <c r="B24" s="6" t="s">
        <v>135</v>
      </c>
      <c r="C24" s="115">
        <v>0</v>
      </c>
      <c r="D24" s="115">
        <v>0</v>
      </c>
      <c r="E24" s="115">
        <v>0</v>
      </c>
      <c r="F24" s="115">
        <v>0</v>
      </c>
      <c r="G24" s="99">
        <f>+C24+D24-E24-F24</f>
        <v>0</v>
      </c>
    </row>
    <row r="25" spans="1:7" ht="20.100000000000001" customHeight="1" thickBot="1">
      <c r="A25" s="31">
        <v>14</v>
      </c>
      <c r="B25" s="61" t="s">
        <v>8</v>
      </c>
      <c r="C25" s="101">
        <f>SUM(C20:C24)</f>
        <v>185705764</v>
      </c>
      <c r="D25" s="102">
        <f>SUM(D20:D24)</f>
        <v>2184893</v>
      </c>
      <c r="E25" s="102">
        <f>SUM(E20:E24)</f>
        <v>483451</v>
      </c>
      <c r="F25" s="102">
        <f>SUM(F20:F24)</f>
        <v>0</v>
      </c>
      <c r="G25" s="95">
        <f>+C25+D25-E25-F25</f>
        <v>187407206</v>
      </c>
    </row>
    <row r="26" spans="1:7" ht="11.25" customHeight="1">
      <c r="A26" s="31"/>
      <c r="B26" s="13"/>
      <c r="C26" s="103"/>
      <c r="D26" s="103"/>
      <c r="E26" s="103"/>
      <c r="F26" s="103"/>
      <c r="G26" s="103"/>
    </row>
    <row r="27" spans="1:7" ht="20.100000000000001" customHeight="1" thickBot="1">
      <c r="A27" s="31">
        <v>15</v>
      </c>
      <c r="B27" s="6" t="s">
        <v>136</v>
      </c>
      <c r="C27" s="115">
        <f>9096321</f>
        <v>9096321</v>
      </c>
      <c r="D27" s="115">
        <f>20960570</f>
        <v>20960570</v>
      </c>
      <c r="E27" s="115">
        <f>551942</f>
        <v>551942</v>
      </c>
      <c r="F27" s="115"/>
      <c r="G27" s="99">
        <f>+C27+D27-E27-F27</f>
        <v>29504949</v>
      </c>
    </row>
    <row r="28" spans="1:7" ht="20.100000000000001" customHeight="1" thickBot="1">
      <c r="A28" s="31">
        <v>16</v>
      </c>
      <c r="B28" s="61" t="s">
        <v>137</v>
      </c>
      <c r="C28" s="101">
        <f>SUM(C25:C27)</f>
        <v>194802085</v>
      </c>
      <c r="D28" s="102">
        <f>SUM(D25:D27)</f>
        <v>23145463</v>
      </c>
      <c r="E28" s="102">
        <f>SUM(E25:E27)</f>
        <v>1035393</v>
      </c>
      <c r="F28" s="102">
        <f>SUM(F25:F27)</f>
        <v>0</v>
      </c>
      <c r="G28" s="95">
        <f>+C28+D28-E28-F28</f>
        <v>216912155</v>
      </c>
    </row>
    <row r="29" spans="1:7" ht="20.100000000000001" customHeight="1">
      <c r="B29" t="s">
        <v>128</v>
      </c>
      <c r="G29" s="10" t="s">
        <v>171</v>
      </c>
    </row>
    <row r="31" spans="1:7">
      <c r="G31" s="132">
        <f>+'Balance sheet'!C11+'Balance sheet'!C12-'Electric Plant'!G28</f>
        <v>0</v>
      </c>
    </row>
    <row r="32" spans="1:7">
      <c r="G32" s="132" t="s">
        <v>171</v>
      </c>
    </row>
    <row r="33" spans="6:7">
      <c r="F33" s="131" t="s">
        <v>191</v>
      </c>
      <c r="G33" s="132">
        <f>1868905+182672069+29504949</f>
        <v>214045923</v>
      </c>
    </row>
    <row r="34" spans="6:7">
      <c r="F34" s="131" t="s">
        <v>192</v>
      </c>
      <c r="G34" s="132">
        <f>G28</f>
        <v>216912155</v>
      </c>
    </row>
    <row r="35" spans="6:7" ht="13.8" thickBot="1">
      <c r="F35" s="131" t="s">
        <v>193</v>
      </c>
      <c r="G35" s="133">
        <f>G33-G34</f>
        <v>-2866232</v>
      </c>
    </row>
    <row r="36" spans="6:7" ht="13.8" thickTop="1">
      <c r="F36" s="131"/>
      <c r="G36" s="132"/>
    </row>
    <row r="37" spans="6:7">
      <c r="F37" s="131"/>
      <c r="G37" s="132"/>
    </row>
    <row r="38" spans="6:7">
      <c r="F38" s="131"/>
      <c r="G38" s="132"/>
    </row>
    <row r="39" spans="6:7">
      <c r="F39" s="131"/>
      <c r="G39" s="132"/>
    </row>
    <row r="40" spans="6:7">
      <c r="F40" s="131"/>
      <c r="G40" s="132"/>
    </row>
    <row r="41" spans="6:7">
      <c r="G41" s="132"/>
    </row>
    <row r="42" spans="6:7">
      <c r="G42" s="132"/>
    </row>
    <row r="43" spans="6:7">
      <c r="G43" s="132"/>
    </row>
    <row r="44" spans="6:7">
      <c r="G44" s="132"/>
    </row>
    <row r="45" spans="6:7">
      <c r="G45" s="132"/>
    </row>
    <row r="46" spans="6:7">
      <c r="G46" s="132"/>
    </row>
  </sheetData>
  <mergeCells count="5">
    <mergeCell ref="A1:G1"/>
    <mergeCell ref="A2:G2"/>
    <mergeCell ref="A4:G4"/>
    <mergeCell ref="A6:G6"/>
    <mergeCell ref="A3:G3"/>
  </mergeCells>
  <phoneticPr fontId="0" type="noConversion"/>
  <pageMargins left="0.5" right="0.5" top="0.75" bottom="0.5" header="0.5" footer="0.5"/>
  <pageSetup scale="98" orientation="landscape" horizontalDpi="4294967293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G38"/>
  <sheetViews>
    <sheetView zoomScale="80" workbookViewId="0">
      <selection activeCell="H31" sqref="H31"/>
    </sheetView>
  </sheetViews>
  <sheetFormatPr defaultRowHeight="13.2"/>
  <cols>
    <col min="2" max="2" width="45" customWidth="1"/>
    <col min="3" max="3" width="12.109375" customWidth="1"/>
  </cols>
  <sheetData>
    <row r="1" spans="1:7" ht="15.6">
      <c r="A1" s="174" t="str">
        <f>+'Balance sheet'!A1:F1</f>
        <v>City of Ames - Ames Municipal Electric System</v>
      </c>
      <c r="B1" s="174"/>
      <c r="C1" s="174"/>
      <c r="D1" s="174"/>
      <c r="E1" s="174"/>
      <c r="F1" s="174"/>
      <c r="G1" s="174"/>
    </row>
    <row r="2" spans="1:7" ht="15">
      <c r="A2" s="175" t="s">
        <v>0</v>
      </c>
      <c r="B2" s="175"/>
      <c r="C2" s="175"/>
      <c r="D2" s="175"/>
      <c r="E2" s="175"/>
      <c r="F2" s="175"/>
      <c r="G2" s="175"/>
    </row>
    <row r="3" spans="1:7" ht="15">
      <c r="A3" s="175" t="s">
        <v>178</v>
      </c>
      <c r="B3" s="175"/>
      <c r="C3" s="175"/>
      <c r="D3" s="175"/>
      <c r="E3" s="175"/>
      <c r="F3" s="175"/>
      <c r="G3" s="175"/>
    </row>
    <row r="4" spans="1:7" ht="15.6">
      <c r="A4" s="177" t="str">
        <f>+'Balance sheet'!A4:F4</f>
        <v>June 30, 2016</v>
      </c>
      <c r="B4" s="177"/>
      <c r="C4" s="177"/>
      <c r="D4" s="177"/>
      <c r="E4" s="177"/>
      <c r="F4" s="177"/>
      <c r="G4" s="177"/>
    </row>
    <row r="5" spans="1:7">
      <c r="A5" s="35"/>
      <c r="B5" s="35"/>
      <c r="C5" s="35"/>
    </row>
    <row r="6" spans="1:7">
      <c r="A6" t="s">
        <v>138</v>
      </c>
    </row>
    <row r="7" spans="1:7">
      <c r="A7" t="s">
        <v>5</v>
      </c>
    </row>
    <row r="8" spans="1:7">
      <c r="A8">
        <v>1</v>
      </c>
      <c r="B8" t="s">
        <v>139</v>
      </c>
      <c r="C8" s="10">
        <v>0</v>
      </c>
    </row>
    <row r="11" spans="1:7">
      <c r="C11" s="132"/>
    </row>
    <row r="12" spans="1:7" ht="13.8">
      <c r="B12" s="134" t="s">
        <v>194</v>
      </c>
      <c r="C12" s="132">
        <f>461880</f>
        <v>461880</v>
      </c>
      <c r="D12" s="138" t="s">
        <v>209</v>
      </c>
      <c r="E12" s="139" t="s">
        <v>203</v>
      </c>
    </row>
    <row r="13" spans="1:7" ht="13.8">
      <c r="B13" s="134" t="s">
        <v>195</v>
      </c>
      <c r="C13" s="132"/>
      <c r="E13" s="139" t="s">
        <v>204</v>
      </c>
    </row>
    <row r="14" spans="1:7" ht="13.8">
      <c r="B14" s="134" t="s">
        <v>196</v>
      </c>
      <c r="C14" s="132"/>
      <c r="E14" s="139" t="s">
        <v>205</v>
      </c>
    </row>
    <row r="15" spans="1:7" ht="13.8">
      <c r="B15" s="134" t="s">
        <v>197</v>
      </c>
      <c r="C15" s="132"/>
      <c r="E15" s="139" t="s">
        <v>206</v>
      </c>
    </row>
    <row r="16" spans="1:7" ht="13.8">
      <c r="B16" s="134" t="s">
        <v>198</v>
      </c>
      <c r="C16" s="132"/>
      <c r="E16" s="139" t="s">
        <v>207</v>
      </c>
    </row>
    <row r="17" spans="2:6" ht="13.8">
      <c r="B17" s="134" t="s">
        <v>199</v>
      </c>
      <c r="C17" s="132">
        <f>2119027</f>
        <v>2119027</v>
      </c>
      <c r="D17" s="138" t="s">
        <v>210</v>
      </c>
      <c r="E17" s="138"/>
    </row>
    <row r="18" spans="2:6" ht="13.8">
      <c r="B18" s="134" t="s">
        <v>200</v>
      </c>
      <c r="C18" s="132"/>
      <c r="E18" s="139" t="s">
        <v>208</v>
      </c>
    </row>
    <row r="19" spans="2:6" ht="14.4" thickBot="1">
      <c r="B19" s="134" t="s">
        <v>144</v>
      </c>
      <c r="C19" s="133">
        <f>SUM(C12:C18)</f>
        <v>2580907</v>
      </c>
    </row>
    <row r="20" spans="2:6" ht="13.8" thickTop="1">
      <c r="C20" s="132"/>
    </row>
    <row r="21" spans="2:6" ht="13.8">
      <c r="B21" s="137" t="s">
        <v>201</v>
      </c>
      <c r="C21" s="132"/>
    </row>
    <row r="22" spans="2:6" ht="13.8">
      <c r="B22" s="137" t="s">
        <v>202</v>
      </c>
    </row>
    <row r="24" spans="2:6" ht="13.8">
      <c r="B24" s="140" t="s">
        <v>211</v>
      </c>
    </row>
    <row r="25" spans="2:6" ht="13.8">
      <c r="B25" s="140" t="s">
        <v>212</v>
      </c>
    </row>
    <row r="28" spans="2:6" ht="13.8">
      <c r="B28" s="142" t="s">
        <v>213</v>
      </c>
      <c r="C28" s="144"/>
      <c r="D28" s="141"/>
      <c r="E28" s="141"/>
      <c r="F28" s="141"/>
    </row>
    <row r="29" spans="2:6" ht="13.8">
      <c r="B29" s="143" t="s">
        <v>214</v>
      </c>
      <c r="C29" s="135">
        <f>265129.27</f>
        <v>265129.27</v>
      </c>
      <c r="D29" s="141"/>
      <c r="E29" s="142" t="s">
        <v>215</v>
      </c>
      <c r="F29" s="141"/>
    </row>
    <row r="30" spans="2:6" ht="13.8">
      <c r="B30" s="143" t="s">
        <v>216</v>
      </c>
      <c r="C30" s="135">
        <f>9508.71</f>
        <v>9508.7099999999991</v>
      </c>
      <c r="D30" s="141"/>
      <c r="E30" s="141"/>
      <c r="F30" s="141"/>
    </row>
    <row r="31" spans="2:6" ht="13.8">
      <c r="B31" s="143" t="s">
        <v>217</v>
      </c>
      <c r="C31" s="135">
        <f>82702.59</f>
        <v>82702.59</v>
      </c>
      <c r="D31" s="141"/>
      <c r="E31" s="141"/>
      <c r="F31" s="141"/>
    </row>
    <row r="32" spans="2:6" ht="13.8">
      <c r="B32" s="143" t="s">
        <v>218</v>
      </c>
      <c r="C32" s="135">
        <f>42795.75</f>
        <v>42795.75</v>
      </c>
      <c r="D32" s="141"/>
      <c r="E32" s="141"/>
      <c r="F32" s="141"/>
    </row>
    <row r="33" spans="2:6" ht="13.8">
      <c r="B33" s="143" t="s">
        <v>219</v>
      </c>
      <c r="C33" s="135">
        <f>32235.31</f>
        <v>32235.31</v>
      </c>
      <c r="D33" s="141"/>
      <c r="E33" s="141"/>
      <c r="F33" s="141"/>
    </row>
    <row r="34" spans="2:6" ht="13.8">
      <c r="B34" s="143" t="s">
        <v>220</v>
      </c>
      <c r="C34" s="135">
        <f>26975.18</f>
        <v>26975.18</v>
      </c>
      <c r="D34" s="141"/>
      <c r="E34" s="141"/>
      <c r="F34" s="141"/>
    </row>
    <row r="35" spans="2:6" ht="13.8">
      <c r="B35" s="143" t="s">
        <v>221</v>
      </c>
      <c r="C35" s="135">
        <f>2532.97</f>
        <v>2532.9699999999998</v>
      </c>
      <c r="D35" s="141"/>
      <c r="E35" s="141"/>
      <c r="F35" s="141"/>
    </row>
    <row r="36" spans="2:6" ht="14.4" thickBot="1">
      <c r="B36" s="141"/>
      <c r="C36" s="136">
        <f>SUM(C29:C35)</f>
        <v>461879.78</v>
      </c>
      <c r="D36" s="141"/>
      <c r="E36" s="141"/>
      <c r="F36" s="141"/>
    </row>
    <row r="37" spans="2:6" ht="14.4" thickTop="1">
      <c r="B37" s="141"/>
      <c r="C37" s="144"/>
      <c r="D37" s="141"/>
      <c r="E37" s="141"/>
      <c r="F37" s="141"/>
    </row>
    <row r="38" spans="2:6" ht="13.8">
      <c r="B38" s="142" t="s">
        <v>222</v>
      </c>
      <c r="C38" s="144"/>
      <c r="D38" s="141"/>
      <c r="E38" s="141"/>
      <c r="F38" s="141"/>
    </row>
  </sheetData>
  <mergeCells count="4">
    <mergeCell ref="A1:G1"/>
    <mergeCell ref="A2:G2"/>
    <mergeCell ref="A4:G4"/>
    <mergeCell ref="A3:G3"/>
  </mergeCells>
  <phoneticPr fontId="0" type="noConversion"/>
  <pageMargins left="0.75" right="0.75" top="1" bottom="1" header="0.5" footer="0.5"/>
  <pageSetup scale="86" orientation="portrait" horizontalDpi="4294967293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G37"/>
  <sheetViews>
    <sheetView workbookViewId="0">
      <selection activeCell="D11" sqref="D11"/>
    </sheetView>
  </sheetViews>
  <sheetFormatPr defaultRowHeight="13.2"/>
  <cols>
    <col min="1" max="1" width="6.6640625" customWidth="1"/>
    <col min="2" max="2" width="29.5546875" customWidth="1"/>
    <col min="3" max="6" width="15.6640625" customWidth="1"/>
  </cols>
  <sheetData>
    <row r="1" spans="1:7" ht="15.6">
      <c r="A1" s="174" t="str">
        <f>+'Balance sheet'!A1:F1</f>
        <v>City of Ames - Ames Municipal Electric System</v>
      </c>
      <c r="B1" s="174"/>
      <c r="C1" s="174"/>
      <c r="D1" s="174"/>
      <c r="E1" s="174"/>
      <c r="F1" s="174"/>
      <c r="G1" s="11"/>
    </row>
    <row r="2" spans="1:7" ht="15">
      <c r="A2" s="175" t="s">
        <v>0</v>
      </c>
      <c r="B2" s="175"/>
      <c r="C2" s="175"/>
      <c r="D2" s="175"/>
      <c r="E2" s="175"/>
      <c r="F2" s="175"/>
      <c r="G2" s="11"/>
    </row>
    <row r="3" spans="1:7" ht="15">
      <c r="A3" s="175" t="s">
        <v>179</v>
      </c>
      <c r="B3" s="175"/>
      <c r="C3" s="175"/>
      <c r="D3" s="175"/>
      <c r="E3" s="175"/>
      <c r="F3" s="175"/>
      <c r="G3" s="11"/>
    </row>
    <row r="4" spans="1:7" ht="15.6">
      <c r="A4" s="177" t="str">
        <f>+'Balance sheet'!A4:F4</f>
        <v>June 30, 2016</v>
      </c>
      <c r="B4" s="177"/>
      <c r="C4" s="177"/>
      <c r="D4" s="177"/>
      <c r="E4" s="177"/>
      <c r="F4" s="177"/>
      <c r="G4" s="27"/>
    </row>
    <row r="6" spans="1:7">
      <c r="A6" s="179" t="s">
        <v>141</v>
      </c>
      <c r="B6" s="179"/>
      <c r="C6" s="179"/>
      <c r="D6" s="179"/>
      <c r="E6" s="179"/>
      <c r="F6" s="179"/>
    </row>
    <row r="7" spans="1:7">
      <c r="A7" s="28" t="s">
        <v>1</v>
      </c>
      <c r="B7" s="24"/>
      <c r="C7" s="24" t="s">
        <v>180</v>
      </c>
      <c r="D7" s="24" t="s">
        <v>181</v>
      </c>
      <c r="E7" s="24" t="s">
        <v>183</v>
      </c>
      <c r="F7" s="24" t="s">
        <v>182</v>
      </c>
    </row>
    <row r="8" spans="1:7">
      <c r="A8" s="30" t="s">
        <v>5</v>
      </c>
      <c r="B8" s="25"/>
      <c r="C8" s="24" t="s">
        <v>140</v>
      </c>
      <c r="D8" s="25" t="s">
        <v>142</v>
      </c>
      <c r="E8" s="25" t="s">
        <v>143</v>
      </c>
      <c r="F8" s="25" t="s">
        <v>144</v>
      </c>
    </row>
    <row r="9" spans="1:7">
      <c r="A9" s="4">
        <v>1</v>
      </c>
      <c r="B9" s="2" t="s">
        <v>145</v>
      </c>
      <c r="C9" s="48"/>
      <c r="D9" s="43"/>
      <c r="E9" s="43"/>
      <c r="F9" s="43"/>
    </row>
    <row r="10" spans="1:7">
      <c r="A10" s="5"/>
      <c r="B10" s="1" t="s">
        <v>146</v>
      </c>
      <c r="C10" s="84">
        <f>8552036</f>
        <v>8552036</v>
      </c>
      <c r="D10" s="117">
        <f>12077366-93748</f>
        <v>11983618</v>
      </c>
      <c r="E10" s="117">
        <v>0</v>
      </c>
      <c r="F10" s="121">
        <f>SUM(C10:E10)</f>
        <v>20535654</v>
      </c>
    </row>
    <row r="11" spans="1:7">
      <c r="A11" s="5">
        <v>2</v>
      </c>
      <c r="B11" s="1" t="s">
        <v>147</v>
      </c>
      <c r="C11" s="77">
        <v>0</v>
      </c>
      <c r="D11" s="113">
        <v>0</v>
      </c>
      <c r="E11" s="113">
        <v>0</v>
      </c>
      <c r="F11" s="122">
        <f>SUM(C11:E11)</f>
        <v>0</v>
      </c>
    </row>
    <row r="12" spans="1:7">
      <c r="A12" s="4">
        <v>3</v>
      </c>
      <c r="B12" s="2" t="s">
        <v>148</v>
      </c>
      <c r="C12" s="82"/>
      <c r="D12" s="112"/>
      <c r="E12" s="112"/>
      <c r="F12" s="123"/>
    </row>
    <row r="13" spans="1:7">
      <c r="A13" s="5"/>
      <c r="B13" s="109" t="s">
        <v>149</v>
      </c>
      <c r="C13" s="77">
        <v>0</v>
      </c>
      <c r="D13" s="113">
        <v>0</v>
      </c>
      <c r="E13" s="113">
        <v>0</v>
      </c>
      <c r="F13" s="122">
        <f>SUM(C13:E13)</f>
        <v>0</v>
      </c>
    </row>
    <row r="14" spans="1:7">
      <c r="A14" s="21">
        <v>4</v>
      </c>
      <c r="B14" s="45" t="s">
        <v>150</v>
      </c>
      <c r="C14" s="82"/>
      <c r="D14" s="112"/>
      <c r="E14" s="112"/>
      <c r="F14" s="123"/>
    </row>
    <row r="15" spans="1:7">
      <c r="A15" s="5"/>
      <c r="B15" s="110" t="s">
        <v>151</v>
      </c>
      <c r="C15" s="77">
        <v>0</v>
      </c>
      <c r="D15" s="113">
        <v>0</v>
      </c>
      <c r="E15" s="113">
        <v>0</v>
      </c>
      <c r="F15" s="122">
        <f>SUM(C15:E15)</f>
        <v>0</v>
      </c>
    </row>
    <row r="16" spans="1:7">
      <c r="A16" s="7">
        <v>5</v>
      </c>
      <c r="B16" s="46" t="s">
        <v>152</v>
      </c>
      <c r="C16" s="81">
        <v>0</v>
      </c>
      <c r="D16" s="118">
        <f>21854408</f>
        <v>21854408</v>
      </c>
      <c r="E16" s="118">
        <v>0</v>
      </c>
      <c r="F16" s="124">
        <f>SUM(C16:E16)</f>
        <v>21854408</v>
      </c>
    </row>
    <row r="17" spans="1:7">
      <c r="A17" s="4">
        <v>6</v>
      </c>
      <c r="B17" s="2" t="s">
        <v>153</v>
      </c>
      <c r="C17" s="82"/>
      <c r="D17" s="112"/>
      <c r="E17" s="112"/>
      <c r="F17" s="123"/>
    </row>
    <row r="18" spans="1:7" ht="13.8" thickBot="1">
      <c r="A18" s="5"/>
      <c r="B18" s="109" t="s">
        <v>154</v>
      </c>
      <c r="C18" s="82">
        <v>0</v>
      </c>
      <c r="D18" s="112">
        <v>0</v>
      </c>
      <c r="E18" s="112">
        <v>0</v>
      </c>
      <c r="F18" s="123">
        <f>SUM(C18:E18)</f>
        <v>0</v>
      </c>
    </row>
    <row r="19" spans="1:7" ht="13.8" thickBot="1">
      <c r="A19" s="6">
        <v>7</v>
      </c>
      <c r="B19" s="106" t="s">
        <v>155</v>
      </c>
      <c r="C19" s="101">
        <f>SUM(C10:C18)</f>
        <v>8552036</v>
      </c>
      <c r="D19" s="107">
        <f>SUM(D10:D18)</f>
        <v>33838026</v>
      </c>
      <c r="E19" s="107">
        <f>SUM(E10:E18)</f>
        <v>0</v>
      </c>
      <c r="F19" s="108">
        <f>SUM(C19:E19)</f>
        <v>42390062</v>
      </c>
    </row>
    <row r="20" spans="1:7">
      <c r="A20" s="4">
        <v>8</v>
      </c>
      <c r="B20" s="26" t="s">
        <v>156</v>
      </c>
      <c r="C20" s="119"/>
      <c r="D20" s="119"/>
      <c r="E20" s="119"/>
      <c r="F20" s="43"/>
    </row>
    <row r="21" spans="1:7">
      <c r="A21" s="5"/>
      <c r="B21" s="111" t="s">
        <v>157</v>
      </c>
      <c r="C21" s="125" t="s">
        <v>173</v>
      </c>
      <c r="D21" s="113">
        <f>858087</f>
        <v>858087</v>
      </c>
      <c r="E21" s="113">
        <v>0</v>
      </c>
      <c r="F21" s="94">
        <f>SUM(D21:E21)</f>
        <v>858087</v>
      </c>
      <c r="G21" t="s">
        <v>171</v>
      </c>
    </row>
    <row r="22" spans="1:7">
      <c r="A22" s="4">
        <v>9</v>
      </c>
      <c r="B22" s="26" t="s">
        <v>158</v>
      </c>
      <c r="C22" s="126"/>
      <c r="D22" s="112"/>
      <c r="E22" s="112"/>
      <c r="F22" s="93"/>
    </row>
    <row r="23" spans="1:7">
      <c r="A23" s="5"/>
      <c r="B23" s="111" t="s">
        <v>159</v>
      </c>
      <c r="C23" s="125" t="s">
        <v>173</v>
      </c>
      <c r="D23" s="113">
        <f>5139151</f>
        <v>5139151</v>
      </c>
      <c r="E23" s="113">
        <v>0</v>
      </c>
      <c r="F23" s="94">
        <f>+D23+E23</f>
        <v>5139151</v>
      </c>
    </row>
    <row r="24" spans="1:7">
      <c r="A24" s="4">
        <v>10</v>
      </c>
      <c r="B24" s="26" t="s">
        <v>160</v>
      </c>
      <c r="C24" s="126"/>
      <c r="D24" s="112"/>
      <c r="E24" s="112"/>
      <c r="F24" s="93"/>
    </row>
    <row r="25" spans="1:7">
      <c r="A25" s="5"/>
      <c r="B25" s="111" t="s">
        <v>161</v>
      </c>
      <c r="C25" s="125" t="s">
        <v>173</v>
      </c>
      <c r="D25" s="113">
        <f>1393188</f>
        <v>1393188</v>
      </c>
      <c r="E25" s="113">
        <v>0</v>
      </c>
      <c r="F25" s="94">
        <f>+D25+E25</f>
        <v>1393188</v>
      </c>
    </row>
    <row r="26" spans="1:7">
      <c r="A26" s="4">
        <v>11</v>
      </c>
      <c r="B26" s="26" t="s">
        <v>162</v>
      </c>
      <c r="C26" s="126"/>
      <c r="D26" s="112"/>
      <c r="E26" s="112"/>
      <c r="F26" s="93"/>
    </row>
    <row r="27" spans="1:7">
      <c r="A27" s="5"/>
      <c r="B27" s="111" t="s">
        <v>163</v>
      </c>
      <c r="C27" s="125" t="s">
        <v>173</v>
      </c>
      <c r="D27" s="113">
        <v>0</v>
      </c>
      <c r="E27" s="113">
        <v>0</v>
      </c>
      <c r="F27" s="94">
        <f>+D27+E27</f>
        <v>0</v>
      </c>
    </row>
    <row r="28" spans="1:7">
      <c r="A28" s="6">
        <v>12</v>
      </c>
      <c r="B28" s="44" t="s">
        <v>164</v>
      </c>
      <c r="C28" s="120" t="s">
        <v>173</v>
      </c>
      <c r="D28" s="118">
        <v>0</v>
      </c>
      <c r="E28" s="118">
        <v>0</v>
      </c>
      <c r="F28" s="94">
        <f>+D28+E28</f>
        <v>0</v>
      </c>
    </row>
    <row r="29" spans="1:7">
      <c r="A29" s="6">
        <v>13</v>
      </c>
      <c r="B29" s="44" t="s">
        <v>165</v>
      </c>
      <c r="C29" s="120" t="s">
        <v>173</v>
      </c>
      <c r="D29" s="118">
        <f>1278516</f>
        <v>1278516</v>
      </c>
      <c r="E29" s="118">
        <v>0</v>
      </c>
      <c r="F29" s="94">
        <f>+D29+E29</f>
        <v>1278516</v>
      </c>
    </row>
    <row r="30" spans="1:7" ht="13.8" thickBot="1">
      <c r="A30" s="4">
        <v>14</v>
      </c>
      <c r="B30" s="26" t="s">
        <v>166</v>
      </c>
      <c r="C30" s="127"/>
      <c r="D30" s="119"/>
      <c r="E30" s="119"/>
      <c r="F30" s="43"/>
    </row>
    <row r="31" spans="1:7" ht="13.8" thickBot="1">
      <c r="A31" s="5"/>
      <c r="B31" s="109" t="s">
        <v>167</v>
      </c>
      <c r="C31" s="101" t="s">
        <v>174</v>
      </c>
      <c r="D31" s="107">
        <f>SUM(D19:D29)</f>
        <v>42506968</v>
      </c>
      <c r="E31" s="107">
        <f>SUM(E19:E29)</f>
        <v>0</v>
      </c>
      <c r="F31" s="108">
        <f>SUM(F19:F30)</f>
        <v>51059004</v>
      </c>
    </row>
    <row r="32" spans="1:7">
      <c r="C32" s="10"/>
      <c r="D32" s="10"/>
      <c r="E32" s="10"/>
      <c r="F32" s="10"/>
    </row>
    <row r="33" spans="2:6">
      <c r="B33" s="180" t="s">
        <v>168</v>
      </c>
      <c r="C33" s="181"/>
      <c r="D33" s="104">
        <f>81</f>
        <v>81</v>
      </c>
      <c r="E33" s="10"/>
      <c r="F33" s="10"/>
    </row>
    <row r="34" spans="2:6">
      <c r="B34" s="3" t="s">
        <v>169</v>
      </c>
      <c r="C34" s="39"/>
      <c r="D34" s="105">
        <v>0</v>
      </c>
      <c r="E34" s="10"/>
      <c r="F34" s="10"/>
    </row>
    <row r="35" spans="2:6">
      <c r="C35" s="10"/>
      <c r="D35" s="10"/>
      <c r="E35" s="10"/>
      <c r="F35" s="10"/>
    </row>
    <row r="36" spans="2:6">
      <c r="B36" t="s">
        <v>170</v>
      </c>
    </row>
    <row r="37" spans="2:6">
      <c r="B37" t="s">
        <v>172</v>
      </c>
    </row>
  </sheetData>
  <mergeCells count="6">
    <mergeCell ref="A6:F6"/>
    <mergeCell ref="B33:C33"/>
    <mergeCell ref="A1:F1"/>
    <mergeCell ref="A2:F2"/>
    <mergeCell ref="A4:F4"/>
    <mergeCell ref="A3:F3"/>
  </mergeCells>
  <phoneticPr fontId="0" type="noConversion"/>
  <pageMargins left="0.75" right="0.75" top="1" bottom="1" header="0.5" footer="0.5"/>
  <pageSetup scale="83" orientation="portrait" horizontalDpi="4294967293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D33"/>
  <sheetViews>
    <sheetView workbookViewId="0">
      <selection activeCell="C31" sqref="C31"/>
    </sheetView>
  </sheetViews>
  <sheetFormatPr defaultRowHeight="13.2"/>
  <cols>
    <col min="1" max="1" width="23.77734375" customWidth="1"/>
    <col min="2" max="2" width="14" customWidth="1"/>
    <col min="3" max="3" width="18" customWidth="1"/>
    <col min="4" max="4" width="13.109375" bestFit="1" customWidth="1"/>
  </cols>
  <sheetData>
    <row r="1" spans="1:3" ht="13.8">
      <c r="A1" s="145" t="s">
        <v>184</v>
      </c>
      <c r="B1" s="147"/>
      <c r="C1" s="147"/>
    </row>
    <row r="2" spans="1:3" ht="13.8">
      <c r="A2" s="145" t="s">
        <v>223</v>
      </c>
      <c r="B2" s="147"/>
      <c r="C2" s="147"/>
    </row>
    <row r="3" spans="1:3" ht="13.8">
      <c r="A3" s="150" t="s">
        <v>185</v>
      </c>
      <c r="B3" s="147"/>
      <c r="C3" s="147"/>
    </row>
    <row r="6" spans="1:3" ht="13.8">
      <c r="A6" s="145" t="s">
        <v>225</v>
      </c>
      <c r="B6" s="156">
        <v>0</v>
      </c>
      <c r="C6" s="147"/>
    </row>
    <row r="7" spans="1:3" ht="13.8">
      <c r="A7" s="145" t="s">
        <v>226</v>
      </c>
      <c r="B7" s="154">
        <f>C33</f>
        <v>888591.41017269285</v>
      </c>
      <c r="C7" s="151" t="s">
        <v>227</v>
      </c>
    </row>
    <row r="8" spans="1:3" ht="13.8">
      <c r="A8" s="145" t="s">
        <v>228</v>
      </c>
      <c r="B8" s="155">
        <v>0</v>
      </c>
      <c r="C8" s="147"/>
    </row>
    <row r="9" spans="1:3" ht="13.8">
      <c r="A9" s="145" t="s">
        <v>229</v>
      </c>
      <c r="B9" s="158">
        <v>0</v>
      </c>
      <c r="C9" s="147"/>
    </row>
    <row r="10" spans="1:3" ht="14.4" thickBot="1">
      <c r="A10" s="147"/>
      <c r="B10" s="159">
        <f>SUM(B6:B9)</f>
        <v>888591.41017269285</v>
      </c>
      <c r="C10" s="151" t="s">
        <v>230</v>
      </c>
    </row>
    <row r="11" spans="1:3" ht="14.4" thickTop="1">
      <c r="A11" s="147"/>
      <c r="B11" s="157"/>
      <c r="C11" s="151" t="s">
        <v>231</v>
      </c>
    </row>
    <row r="12" spans="1:3" ht="13.8">
      <c r="A12" s="147"/>
      <c r="B12" s="147"/>
      <c r="C12" s="151" t="s">
        <v>232</v>
      </c>
    </row>
    <row r="13" spans="1:3" ht="13.8">
      <c r="A13" s="147"/>
      <c r="B13" s="147"/>
      <c r="C13" s="151" t="s">
        <v>233</v>
      </c>
    </row>
    <row r="15" spans="1:3" ht="13.8">
      <c r="A15" s="145" t="s">
        <v>234</v>
      </c>
      <c r="B15" s="147"/>
      <c r="C15" s="147"/>
    </row>
    <row r="18" spans="1:4" ht="13.8">
      <c r="A18" s="145" t="s">
        <v>235</v>
      </c>
      <c r="B18" s="147"/>
      <c r="C18" s="147"/>
      <c r="D18" s="147"/>
    </row>
    <row r="19" spans="1:4" ht="13.8">
      <c r="A19" s="146" t="s">
        <v>236</v>
      </c>
      <c r="B19" s="147"/>
      <c r="C19" s="147"/>
      <c r="D19" s="147"/>
    </row>
    <row r="22" spans="1:4" ht="13.8">
      <c r="A22" s="148" t="s">
        <v>237</v>
      </c>
      <c r="B22" s="148"/>
      <c r="C22" s="163"/>
      <c r="D22" s="163">
        <f>1475467.02</f>
        <v>1475467.02</v>
      </c>
    </row>
    <row r="23" spans="1:4" ht="13.8">
      <c r="A23" s="148" t="s">
        <v>238</v>
      </c>
      <c r="B23" s="148"/>
      <c r="C23" s="163"/>
      <c r="D23" s="164">
        <f>7868.98</f>
        <v>7868.98</v>
      </c>
    </row>
    <row r="24" spans="1:4" ht="13.8">
      <c r="A24" s="149" t="s">
        <v>239</v>
      </c>
      <c r="B24" s="149"/>
      <c r="C24" s="151"/>
      <c r="D24" s="162">
        <f>33381.56</f>
        <v>33381.56</v>
      </c>
    </row>
    <row r="25" spans="1:4" ht="13.8">
      <c r="A25" s="149" t="s">
        <v>240</v>
      </c>
      <c r="B25" s="149"/>
      <c r="C25" s="151"/>
      <c r="D25" s="153">
        <f>591126.76</f>
        <v>591126.76</v>
      </c>
    </row>
    <row r="26" spans="1:4" ht="13.8">
      <c r="A26" s="149" t="s">
        <v>241</v>
      </c>
      <c r="B26" s="149"/>
      <c r="C26" s="151"/>
      <c r="D26" s="152">
        <f>SUM(D22:D25)</f>
        <v>2107844.3200000003</v>
      </c>
    </row>
    <row r="28" spans="1:4" ht="13.8">
      <c r="A28" s="145" t="s">
        <v>242</v>
      </c>
      <c r="B28" s="147"/>
      <c r="C28" s="147"/>
      <c r="D28" s="147"/>
    </row>
    <row r="29" spans="1:4" ht="13.8">
      <c r="A29" s="145" t="s">
        <v>243</v>
      </c>
      <c r="B29" s="147"/>
      <c r="C29" s="151">
        <f>25522203</f>
        <v>25522203</v>
      </c>
      <c r="D29" s="147"/>
    </row>
    <row r="30" spans="1:4" ht="13.8">
      <c r="A30" s="145" t="s">
        <v>244</v>
      </c>
      <c r="B30" s="147"/>
      <c r="C30" s="153">
        <f>17082308</f>
        <v>17082308</v>
      </c>
      <c r="D30" s="147"/>
    </row>
    <row r="31" spans="1:4" ht="13.8">
      <c r="A31" s="145" t="s">
        <v>245</v>
      </c>
      <c r="B31" s="147"/>
      <c r="C31" s="152">
        <f>SUM(C29:C30)</f>
        <v>42604511</v>
      </c>
      <c r="D31" s="147"/>
    </row>
    <row r="32" spans="1:4" ht="13.8">
      <c r="A32" s="145" t="s">
        <v>246</v>
      </c>
      <c r="B32" s="147"/>
      <c r="C32" s="160">
        <f>C29/C31</f>
        <v>0.5990493119378838</v>
      </c>
      <c r="D32" s="147"/>
    </row>
    <row r="33" spans="1:3" ht="14.4" thickBot="1">
      <c r="A33" s="145" t="s">
        <v>247</v>
      </c>
      <c r="B33" s="147"/>
      <c r="C33" s="161">
        <f>C32*(D22+D23)</f>
        <v>888591.41017269285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C16"/>
  <sheetViews>
    <sheetView workbookViewId="0">
      <selection activeCell="C19" sqref="C19"/>
    </sheetView>
  </sheetViews>
  <sheetFormatPr defaultRowHeight="13.2"/>
  <cols>
    <col min="1" max="1" width="40.21875" bestFit="1" customWidth="1"/>
    <col min="3" max="3" width="65.44140625" bestFit="1" customWidth="1"/>
  </cols>
  <sheetData>
    <row r="1" spans="1:3" ht="13.8">
      <c r="A1" s="165" t="s">
        <v>184</v>
      </c>
      <c r="B1" s="166"/>
      <c r="C1" s="166"/>
    </row>
    <row r="2" spans="1:3" ht="13.8">
      <c r="A2" s="165" t="s">
        <v>248</v>
      </c>
      <c r="B2" s="166"/>
      <c r="C2" s="166"/>
    </row>
    <row r="3" spans="1:3" ht="13.8">
      <c r="A3" s="167" t="s">
        <v>224</v>
      </c>
      <c r="B3" s="166"/>
      <c r="C3" s="166"/>
    </row>
    <row r="6" spans="1:3" ht="13.8">
      <c r="A6" s="172" t="s">
        <v>249</v>
      </c>
      <c r="B6" s="172" t="s">
        <v>93</v>
      </c>
      <c r="C6" s="166"/>
    </row>
    <row r="8" spans="1:3" ht="13.8">
      <c r="A8" s="165" t="s">
        <v>250</v>
      </c>
      <c r="B8" s="170">
        <v>0</v>
      </c>
      <c r="C8" s="166"/>
    </row>
    <row r="9" spans="1:3" ht="13.8">
      <c r="A9" s="165" t="s">
        <v>251</v>
      </c>
      <c r="B9" s="168">
        <v>0</v>
      </c>
      <c r="C9" s="166"/>
    </row>
    <row r="10" spans="1:3" ht="13.8">
      <c r="A10" s="165" t="s">
        <v>252</v>
      </c>
      <c r="B10" s="169">
        <v>75821</v>
      </c>
      <c r="C10" s="166"/>
    </row>
    <row r="11" spans="1:3" ht="13.8">
      <c r="A11" s="165" t="s">
        <v>253</v>
      </c>
      <c r="B11" s="171">
        <v>0</v>
      </c>
      <c r="C11" s="166"/>
    </row>
    <row r="12" spans="1:3" ht="14.4" thickBot="1">
      <c r="A12" s="165" t="s">
        <v>254</v>
      </c>
      <c r="B12" s="173">
        <f>SUM(B8:B11)</f>
        <v>75821</v>
      </c>
      <c r="C12" s="165" t="s">
        <v>255</v>
      </c>
    </row>
    <row r="13" spans="1:3" ht="14.4" thickTop="1">
      <c r="A13" s="166"/>
      <c r="B13" s="166"/>
      <c r="C13" s="165" t="s">
        <v>230</v>
      </c>
    </row>
    <row r="14" spans="1:3" ht="13.8">
      <c r="A14" s="166"/>
      <c r="B14" s="166"/>
      <c r="C14" s="165" t="s">
        <v>256</v>
      </c>
    </row>
    <row r="15" spans="1:3" ht="13.8">
      <c r="A15" s="166"/>
      <c r="B15" s="166"/>
      <c r="C15" s="165" t="s">
        <v>232</v>
      </c>
    </row>
    <row r="16" spans="1:3" ht="13.8">
      <c r="A16" s="166"/>
      <c r="B16" s="166"/>
      <c r="C16" s="165" t="s">
        <v>233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41"/>
  <sheetViews>
    <sheetView workbookViewId="0">
      <selection activeCell="D17" sqref="D17"/>
    </sheetView>
  </sheetViews>
  <sheetFormatPr defaultRowHeight="13.2"/>
  <cols>
    <col min="1" max="1" width="16.77734375" customWidth="1"/>
    <col min="2" max="2" width="12.88671875" customWidth="1"/>
    <col min="4" max="4" width="34.21875" bestFit="1" customWidth="1"/>
  </cols>
  <sheetData>
    <row r="1" spans="1:9" ht="13.8">
      <c r="A1" s="185" t="s">
        <v>184</v>
      </c>
      <c r="B1" s="184"/>
      <c r="C1" s="184"/>
      <c r="D1" s="184"/>
      <c r="E1" s="184"/>
      <c r="F1" s="184"/>
      <c r="G1" s="184"/>
      <c r="H1" s="184"/>
      <c r="I1" s="184"/>
    </row>
    <row r="2" spans="1:9" ht="13.8">
      <c r="A2" s="185" t="s">
        <v>257</v>
      </c>
      <c r="B2" s="184"/>
      <c r="C2" s="184"/>
      <c r="D2" s="184"/>
      <c r="E2" s="184"/>
      <c r="F2" s="184"/>
      <c r="G2" s="184"/>
      <c r="H2" s="184"/>
      <c r="I2" s="184"/>
    </row>
    <row r="3" spans="1:9" ht="13.8">
      <c r="A3" s="191" t="s">
        <v>185</v>
      </c>
      <c r="B3" s="184"/>
      <c r="C3" s="184"/>
      <c r="D3" s="184"/>
      <c r="E3" s="184"/>
      <c r="F3" s="184"/>
      <c r="G3" s="184"/>
      <c r="H3" s="184"/>
      <c r="I3" s="184"/>
    </row>
    <row r="6" spans="1:9" ht="13.8">
      <c r="A6" s="185" t="s">
        <v>225</v>
      </c>
      <c r="B6" s="193">
        <f>B25</f>
        <v>3662442.02</v>
      </c>
      <c r="C6" s="184"/>
      <c r="D6" s="185" t="s">
        <v>258</v>
      </c>
      <c r="E6" s="184"/>
      <c r="F6" s="184"/>
      <c r="G6" s="184"/>
      <c r="H6" s="184"/>
      <c r="I6" s="185" t="s">
        <v>259</v>
      </c>
    </row>
    <row r="7" spans="1:9" ht="13.8">
      <c r="A7" s="185" t="s">
        <v>260</v>
      </c>
      <c r="B7" s="193">
        <f>B32</f>
        <v>239421.94800000003</v>
      </c>
      <c r="C7" s="184"/>
      <c r="D7" s="185" t="s">
        <v>261</v>
      </c>
      <c r="E7" s="184"/>
      <c r="F7" s="184"/>
      <c r="G7" s="184"/>
      <c r="H7" s="184"/>
      <c r="I7" s="185" t="s">
        <v>262</v>
      </c>
    </row>
    <row r="8" spans="1:9" ht="13.8">
      <c r="A8" s="185" t="s">
        <v>217</v>
      </c>
      <c r="B8" s="193">
        <f>B39</f>
        <v>1917313.8120000002</v>
      </c>
      <c r="C8" s="184"/>
      <c r="D8" s="185" t="s">
        <v>263</v>
      </c>
      <c r="E8" s="184"/>
      <c r="F8" s="184"/>
      <c r="G8" s="184"/>
      <c r="H8" s="184"/>
      <c r="I8" s="185" t="s">
        <v>264</v>
      </c>
    </row>
    <row r="9" spans="1:9" ht="13.8">
      <c r="A9" s="185" t="s">
        <v>265</v>
      </c>
      <c r="B9" s="193">
        <f>587372.38</f>
        <v>587372.38</v>
      </c>
      <c r="C9" s="184"/>
      <c r="D9" s="185" t="s">
        <v>266</v>
      </c>
      <c r="E9" s="184"/>
      <c r="F9" s="184"/>
      <c r="G9" s="184"/>
      <c r="H9" s="184"/>
      <c r="I9" s="185" t="s">
        <v>267</v>
      </c>
    </row>
    <row r="10" spans="1:9" ht="14.4" thickBot="1">
      <c r="A10" s="184"/>
      <c r="B10" s="194">
        <f>SUM(B6:B9)</f>
        <v>6406550.1600000001</v>
      </c>
      <c r="C10" s="185" t="s">
        <v>209</v>
      </c>
      <c r="D10" s="184"/>
      <c r="E10" s="184"/>
      <c r="F10" s="184"/>
      <c r="G10" s="184"/>
      <c r="H10" s="184"/>
      <c r="I10" s="184"/>
    </row>
    <row r="11" spans="1:9" ht="14.4" thickTop="1">
      <c r="A11" s="184"/>
      <c r="B11" s="192"/>
      <c r="C11" s="184"/>
      <c r="D11" s="184"/>
      <c r="E11" s="184"/>
      <c r="F11" s="184"/>
      <c r="G11" s="184"/>
      <c r="H11" s="184"/>
      <c r="I11" s="184"/>
    </row>
    <row r="12" spans="1:9" ht="13.8">
      <c r="A12" s="185" t="s">
        <v>268</v>
      </c>
      <c r="B12" s="184"/>
      <c r="C12" s="184"/>
      <c r="D12" s="184"/>
      <c r="E12" s="184"/>
      <c r="F12" s="184"/>
      <c r="G12" s="184"/>
      <c r="H12" s="184"/>
      <c r="I12" s="184"/>
    </row>
    <row r="13" spans="1:9" ht="13.8">
      <c r="A13" s="187" t="s">
        <v>269</v>
      </c>
      <c r="B13" s="184"/>
      <c r="C13" s="184"/>
      <c r="D13" s="184"/>
      <c r="E13" s="184"/>
      <c r="F13" s="184"/>
      <c r="G13" s="184"/>
      <c r="H13" s="184"/>
      <c r="I13" s="184"/>
    </row>
    <row r="15" spans="1:9" ht="13.8">
      <c r="A15" s="185" t="s">
        <v>270</v>
      </c>
      <c r="B15" s="184"/>
      <c r="C15" s="184"/>
      <c r="D15" s="184"/>
      <c r="E15" s="184"/>
      <c r="F15" s="184"/>
      <c r="G15" s="184"/>
      <c r="H15" s="184"/>
      <c r="I15" s="184"/>
    </row>
    <row r="16" spans="1:9" ht="13.8">
      <c r="A16" s="185" t="s">
        <v>271</v>
      </c>
      <c r="B16" s="184"/>
      <c r="C16" s="184"/>
      <c r="D16" s="184"/>
      <c r="E16" s="184"/>
      <c r="F16" s="184"/>
      <c r="G16" s="184"/>
      <c r="H16" s="184"/>
      <c r="I16" s="184"/>
    </row>
    <row r="17" spans="1:2" ht="13.8">
      <c r="A17" s="189"/>
      <c r="B17" s="184"/>
    </row>
    <row r="18" spans="1:2" ht="13.8">
      <c r="A18" s="185" t="s">
        <v>272</v>
      </c>
      <c r="B18" s="184"/>
    </row>
    <row r="19" spans="1:2" ht="13.8">
      <c r="A19" s="187" t="s">
        <v>273</v>
      </c>
      <c r="B19" s="184"/>
    </row>
    <row r="21" spans="1:2" ht="13.8">
      <c r="A21" s="184"/>
      <c r="B21" s="188"/>
    </row>
    <row r="22" spans="1:2" ht="13.8">
      <c r="A22" s="185" t="s">
        <v>274</v>
      </c>
      <c r="B22" s="188"/>
    </row>
    <row r="23" spans="1:2" ht="13.8">
      <c r="A23" s="186" t="s">
        <v>214</v>
      </c>
      <c r="B23" s="188">
        <f>3536415.86</f>
        <v>3536415.86</v>
      </c>
    </row>
    <row r="24" spans="1:2" ht="13.8">
      <c r="A24" s="186" t="s">
        <v>216</v>
      </c>
      <c r="B24" s="188">
        <f>126026.16</f>
        <v>126026.16</v>
      </c>
    </row>
    <row r="25" spans="1:2" ht="14.4" thickBot="1">
      <c r="A25" s="184"/>
      <c r="B25" s="190">
        <f>SUM(B23:B24)</f>
        <v>3662442.02</v>
      </c>
    </row>
    <row r="26" spans="1:2" ht="14.4" thickTop="1">
      <c r="A26" s="184"/>
      <c r="B26" s="188"/>
    </row>
    <row r="27" spans="1:2" ht="13.8">
      <c r="A27" s="185" t="s">
        <v>275</v>
      </c>
      <c r="B27" s="188"/>
    </row>
    <row r="28" spans="1:2" ht="13.8">
      <c r="A28" s="186" t="s">
        <v>226</v>
      </c>
      <c r="B28" s="188">
        <f>1814.97</f>
        <v>1814.97</v>
      </c>
    </row>
    <row r="29" spans="1:2" ht="13.8">
      <c r="A29" s="186" t="s">
        <v>276</v>
      </c>
      <c r="B29" s="188">
        <f>0.3*520753.34</f>
        <v>156226.00200000001</v>
      </c>
    </row>
    <row r="30" spans="1:2" ht="13.8">
      <c r="A30" s="186" t="s">
        <v>277</v>
      </c>
      <c r="B30" s="188">
        <f>0.1*471966.76</f>
        <v>47196.676000000007</v>
      </c>
    </row>
    <row r="31" spans="1:2" ht="13.8">
      <c r="A31" s="186" t="s">
        <v>278</v>
      </c>
      <c r="B31" s="188">
        <f>0.5*68368.6</f>
        <v>34184.300000000003</v>
      </c>
    </row>
    <row r="32" spans="1:2" ht="14.4" thickBot="1">
      <c r="A32" s="186"/>
      <c r="B32" s="190">
        <f>SUM(B28:B31)</f>
        <v>239421.94800000003</v>
      </c>
    </row>
    <row r="33" spans="1:2" ht="14.4" thickTop="1">
      <c r="A33" s="184"/>
      <c r="B33" s="188"/>
    </row>
    <row r="34" spans="1:2" ht="13.8">
      <c r="A34" s="185" t="s">
        <v>279</v>
      </c>
      <c r="B34" s="188"/>
    </row>
    <row r="35" spans="1:2" ht="13.8">
      <c r="A35" s="186" t="s">
        <v>217</v>
      </c>
      <c r="B35" s="188">
        <f>1093832.09</f>
        <v>1093832.0900000001</v>
      </c>
    </row>
    <row r="36" spans="1:2" ht="13.8">
      <c r="A36" s="186" t="s">
        <v>280</v>
      </c>
      <c r="B36" s="188">
        <f>0.7*520753.34</f>
        <v>364527.33799999999</v>
      </c>
    </row>
    <row r="37" spans="1:2" ht="13.8">
      <c r="A37" s="186" t="s">
        <v>281</v>
      </c>
      <c r="B37" s="188">
        <f>0.9*471966.76</f>
        <v>424770.08400000003</v>
      </c>
    </row>
    <row r="38" spans="1:2" ht="13.8">
      <c r="A38" s="186" t="s">
        <v>278</v>
      </c>
      <c r="B38" s="188">
        <f>0.5*68368.6</f>
        <v>34184.300000000003</v>
      </c>
    </row>
    <row r="39" spans="1:2" ht="14.4" thickBot="1">
      <c r="A39" s="186"/>
      <c r="B39" s="190">
        <f>SUM(B35:B38)</f>
        <v>1917313.8120000002</v>
      </c>
    </row>
    <row r="40" spans="1:2" ht="14.4" thickTop="1">
      <c r="A40" s="184"/>
      <c r="B40" s="188"/>
    </row>
    <row r="41" spans="1:2" ht="13.8">
      <c r="A41" s="184"/>
      <c r="B41" s="18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D56"/>
  <sheetViews>
    <sheetView workbookViewId="0">
      <selection activeCell="D45" sqref="D45"/>
    </sheetView>
  </sheetViews>
  <sheetFormatPr defaultRowHeight="13.2"/>
  <cols>
    <col min="1" max="1" width="57.6640625" customWidth="1"/>
    <col min="2" max="2" width="3.88671875" customWidth="1"/>
    <col min="3" max="3" width="13.109375" bestFit="1" customWidth="1"/>
    <col min="4" max="4" width="43.77734375" bestFit="1" customWidth="1"/>
  </cols>
  <sheetData>
    <row r="1" spans="1:4" ht="13.8">
      <c r="A1" s="201" t="s">
        <v>184</v>
      </c>
      <c r="B1" s="201"/>
      <c r="C1" s="201"/>
      <c r="D1" s="201"/>
    </row>
    <row r="2" spans="1:4" ht="13.8">
      <c r="A2" s="201" t="s">
        <v>282</v>
      </c>
      <c r="B2" s="201"/>
      <c r="C2" s="201"/>
      <c r="D2" s="201"/>
    </row>
    <row r="3" spans="1:4" ht="13.8">
      <c r="A3" s="202" t="s">
        <v>185</v>
      </c>
      <c r="B3" s="201"/>
      <c r="C3" s="201"/>
      <c r="D3" s="201"/>
    </row>
    <row r="6" spans="1:4" ht="13.8">
      <c r="A6" s="200" t="s">
        <v>283</v>
      </c>
      <c r="B6" s="201"/>
      <c r="C6" s="197">
        <v>0</v>
      </c>
      <c r="D6" s="200"/>
    </row>
    <row r="7" spans="1:4" ht="13.8">
      <c r="A7" s="203" t="s">
        <v>284</v>
      </c>
      <c r="B7" s="201"/>
      <c r="C7" s="196">
        <v>0</v>
      </c>
      <c r="D7" s="200"/>
    </row>
    <row r="8" spans="1:4" ht="13.8">
      <c r="A8" s="203" t="s">
        <v>285</v>
      </c>
      <c r="B8" s="201"/>
      <c r="C8" s="196">
        <f>337909.62</f>
        <v>337909.62</v>
      </c>
      <c r="D8" s="200" t="s">
        <v>286</v>
      </c>
    </row>
    <row r="9" spans="1:4" ht="13.8">
      <c r="A9" s="203" t="s">
        <v>287</v>
      </c>
      <c r="B9" s="201"/>
      <c r="C9" s="196">
        <f>1024176.25</f>
        <v>1024176.25</v>
      </c>
      <c r="D9" s="200" t="s">
        <v>288</v>
      </c>
    </row>
    <row r="10" spans="1:4" ht="13.8">
      <c r="A10" s="203" t="s">
        <v>289</v>
      </c>
      <c r="B10" s="201"/>
      <c r="C10" s="196">
        <f>29240.05</f>
        <v>29240.05</v>
      </c>
      <c r="D10" s="200" t="s">
        <v>290</v>
      </c>
    </row>
    <row r="11" spans="1:4" ht="13.8">
      <c r="A11" s="203" t="s">
        <v>291</v>
      </c>
      <c r="B11" s="201"/>
      <c r="C11" s="196">
        <f>1862.51</f>
        <v>1862.51</v>
      </c>
      <c r="D11" s="200"/>
    </row>
    <row r="12" spans="1:4" ht="14.4" thickBot="1">
      <c r="A12" s="204" t="s">
        <v>292</v>
      </c>
      <c r="B12" s="201"/>
      <c r="C12" s="198">
        <f>SUM(C6:C11)</f>
        <v>1393188.4300000002</v>
      </c>
      <c r="D12" s="200" t="s">
        <v>293</v>
      </c>
    </row>
    <row r="13" spans="1:4" ht="14.4" thickTop="1">
      <c r="A13" s="204"/>
      <c r="B13" s="201"/>
      <c r="C13" s="196"/>
      <c r="D13" s="200"/>
    </row>
    <row r="14" spans="1:4" ht="13.8">
      <c r="A14" s="200" t="s">
        <v>294</v>
      </c>
      <c r="B14" s="201"/>
      <c r="C14" s="196"/>
      <c r="D14" s="200"/>
    </row>
    <row r="15" spans="1:4" ht="13.8">
      <c r="A15" s="203" t="s">
        <v>295</v>
      </c>
      <c r="B15" s="201"/>
      <c r="C15" s="197">
        <v>0</v>
      </c>
      <c r="D15" s="200"/>
    </row>
    <row r="16" spans="1:4" ht="13.8">
      <c r="A16" s="203" t="s">
        <v>296</v>
      </c>
      <c r="B16" s="201"/>
      <c r="C16" s="196">
        <v>0</v>
      </c>
      <c r="D16" s="200"/>
    </row>
    <row r="17" spans="1:4" ht="13.8">
      <c r="A17" s="203" t="s">
        <v>297</v>
      </c>
      <c r="B17" s="201"/>
      <c r="C17" s="196">
        <v>0</v>
      </c>
      <c r="D17" s="200"/>
    </row>
    <row r="18" spans="1:4" ht="13.8">
      <c r="A18" s="203" t="s">
        <v>298</v>
      </c>
      <c r="B18" s="201"/>
      <c r="C18" s="196">
        <v>0</v>
      </c>
      <c r="D18" s="200"/>
    </row>
    <row r="19" spans="1:4" ht="14.4" thickBot="1">
      <c r="A19" s="204" t="s">
        <v>299</v>
      </c>
      <c r="B19" s="201"/>
      <c r="C19" s="198">
        <f>SUM(C15:C18)</f>
        <v>0</v>
      </c>
      <c r="D19" s="200" t="s">
        <v>300</v>
      </c>
    </row>
    <row r="20" spans="1:4" ht="14.4" thickTop="1">
      <c r="A20" s="204"/>
      <c r="B20" s="201"/>
      <c r="C20" s="196"/>
      <c r="D20" s="200"/>
    </row>
    <row r="21" spans="1:4" ht="13.8">
      <c r="A21" s="200" t="s">
        <v>301</v>
      </c>
      <c r="B21" s="201"/>
      <c r="C21" s="196"/>
      <c r="D21" s="200"/>
    </row>
    <row r="22" spans="1:4" ht="13.8">
      <c r="A22" s="203" t="s">
        <v>302</v>
      </c>
      <c r="B22" s="201"/>
      <c r="C22" s="197">
        <v>0</v>
      </c>
      <c r="D22" s="200"/>
    </row>
    <row r="23" spans="1:4" ht="13.8">
      <c r="A23" s="203" t="s">
        <v>303</v>
      </c>
      <c r="B23" s="201"/>
      <c r="C23" s="196">
        <v>0</v>
      </c>
      <c r="D23" s="200"/>
    </row>
    <row r="24" spans="1:4" ht="13.8">
      <c r="A24" s="203" t="s">
        <v>304</v>
      </c>
      <c r="B24" s="201"/>
      <c r="C24" s="196">
        <v>0</v>
      </c>
      <c r="D24" s="200"/>
    </row>
    <row r="25" spans="1:4" ht="13.8">
      <c r="A25" s="203" t="s">
        <v>305</v>
      </c>
      <c r="B25" s="201"/>
      <c r="C25" s="196">
        <v>0</v>
      </c>
      <c r="D25" s="200"/>
    </row>
    <row r="26" spans="1:4" ht="14.4" thickBot="1">
      <c r="A26" s="204" t="s">
        <v>306</v>
      </c>
      <c r="B26" s="201"/>
      <c r="C26" s="198">
        <f>SUM(C22:C25)</f>
        <v>0</v>
      </c>
      <c r="D26" s="200" t="s">
        <v>307</v>
      </c>
    </row>
    <row r="27" spans="1:4" ht="14.4" thickTop="1">
      <c r="A27" s="213"/>
      <c r="B27" s="211"/>
      <c r="C27" s="212"/>
      <c r="D27" s="210"/>
    </row>
    <row r="28" spans="1:4" ht="13.8">
      <c r="A28" s="200" t="s">
        <v>308</v>
      </c>
      <c r="B28" s="201"/>
      <c r="C28" s="205"/>
      <c r="D28" s="199"/>
    </row>
    <row r="29" spans="1:4" ht="13.8">
      <c r="A29" s="203" t="s">
        <v>309</v>
      </c>
      <c r="B29" s="201"/>
      <c r="C29" s="206">
        <f>542593.06</f>
        <v>542593.06000000006</v>
      </c>
      <c r="D29" s="200"/>
    </row>
    <row r="30" spans="1:4" ht="13.8">
      <c r="A30" s="203" t="s">
        <v>310</v>
      </c>
      <c r="B30" s="201"/>
      <c r="C30" s="205">
        <f>16707.62</f>
        <v>16707.62</v>
      </c>
      <c r="D30" s="200"/>
    </row>
    <row r="31" spans="1:4" ht="13.8">
      <c r="A31" s="203" t="s">
        <v>311</v>
      </c>
      <c r="B31" s="201"/>
      <c r="C31" s="205">
        <v>0</v>
      </c>
      <c r="D31" s="195"/>
    </row>
    <row r="32" spans="1:4" ht="13.8">
      <c r="A32" s="203" t="s">
        <v>312</v>
      </c>
      <c r="B32" s="201"/>
      <c r="C32" s="205">
        <f>190392.79-C37-C39</f>
        <v>75008.990000000005</v>
      </c>
      <c r="D32" s="200"/>
    </row>
    <row r="33" spans="1:4" ht="13.8">
      <c r="A33" s="203" t="s">
        <v>314</v>
      </c>
      <c r="B33" s="201"/>
      <c r="C33" s="205">
        <v>0</v>
      </c>
      <c r="D33" s="200" t="s">
        <v>315</v>
      </c>
    </row>
    <row r="34" spans="1:4" ht="13.8">
      <c r="A34" s="203" t="s">
        <v>316</v>
      </c>
      <c r="B34" s="201"/>
      <c r="C34" s="205">
        <f>2369</f>
        <v>2369</v>
      </c>
      <c r="D34" s="200" t="s">
        <v>313</v>
      </c>
    </row>
    <row r="35" spans="1:4" ht="13.8">
      <c r="A35" s="203" t="s">
        <v>317</v>
      </c>
      <c r="B35" s="201"/>
      <c r="C35" s="205">
        <f>67786.32</f>
        <v>67786.320000000007</v>
      </c>
      <c r="D35" s="200" t="s">
        <v>313</v>
      </c>
    </row>
    <row r="36" spans="1:4" ht="13.8">
      <c r="A36" s="203" t="s">
        <v>318</v>
      </c>
      <c r="B36" s="201"/>
      <c r="C36" s="205">
        <v>0</v>
      </c>
      <c r="D36" s="195"/>
    </row>
    <row r="37" spans="1:4" ht="13.8">
      <c r="A37" s="203" t="s">
        <v>319</v>
      </c>
      <c r="B37" s="201"/>
      <c r="C37" s="205">
        <f>105097.49</f>
        <v>105097.49</v>
      </c>
      <c r="D37" s="195"/>
    </row>
    <row r="38" spans="1:4" ht="13.8">
      <c r="A38" s="203" t="s">
        <v>320</v>
      </c>
      <c r="B38" s="201"/>
      <c r="C38" s="205">
        <v>0</v>
      </c>
      <c r="D38" s="195"/>
    </row>
    <row r="39" spans="1:4" ht="13.8">
      <c r="A39" s="203" t="s">
        <v>321</v>
      </c>
      <c r="B39" s="201"/>
      <c r="C39" s="205">
        <f>10286.31</f>
        <v>10286.31</v>
      </c>
      <c r="D39" s="200" t="s">
        <v>322</v>
      </c>
    </row>
    <row r="40" spans="1:4" ht="13.8">
      <c r="A40" s="203" t="s">
        <v>323</v>
      </c>
      <c r="B40" s="195"/>
      <c r="C40" s="205">
        <f>458666.99</f>
        <v>458666.99</v>
      </c>
      <c r="D40" s="195"/>
    </row>
    <row r="41" spans="1:4" ht="13.8">
      <c r="A41" s="203" t="s">
        <v>324</v>
      </c>
      <c r="B41" s="195"/>
      <c r="C41" s="207">
        <v>0</v>
      </c>
      <c r="D41" s="195"/>
    </row>
    <row r="42" spans="1:4" ht="13.8">
      <c r="A42" s="203" t="s">
        <v>325</v>
      </c>
      <c r="B42" s="195"/>
      <c r="C42" s="207">
        <v>0</v>
      </c>
      <c r="D42" s="195"/>
    </row>
    <row r="43" spans="1:4" ht="14.4" thickBot="1">
      <c r="A43" s="204" t="s">
        <v>326</v>
      </c>
      <c r="B43" s="195"/>
      <c r="C43" s="208">
        <f>SUM(C29:C42)</f>
        <v>1278515.78</v>
      </c>
      <c r="D43" s="200" t="s">
        <v>327</v>
      </c>
    </row>
    <row r="44" spans="1:4" ht="14.4" thickTop="1">
      <c r="A44" s="199"/>
      <c r="B44" s="199"/>
      <c r="C44" s="209"/>
      <c r="D44" s="199"/>
    </row>
    <row r="45" spans="1:4" ht="13.8">
      <c r="A45" s="199"/>
      <c r="B45" s="199"/>
      <c r="C45" s="209"/>
      <c r="D45" s="199"/>
    </row>
    <row r="46" spans="1:4" ht="13.8">
      <c r="A46" s="200" t="s">
        <v>328</v>
      </c>
      <c r="B46" s="199"/>
      <c r="C46" s="199"/>
      <c r="D46" s="199"/>
    </row>
    <row r="47" spans="1:4" ht="13.8">
      <c r="A47" s="200" t="s">
        <v>329</v>
      </c>
      <c r="B47" s="199"/>
      <c r="C47" s="199"/>
      <c r="D47" s="199"/>
    </row>
    <row r="48" spans="1:4" ht="13.8">
      <c r="A48" s="200" t="s">
        <v>330</v>
      </c>
      <c r="B48" s="199"/>
      <c r="C48" s="199"/>
      <c r="D48" s="199"/>
    </row>
    <row r="49" spans="1:1" ht="13.8">
      <c r="A49" s="204"/>
    </row>
    <row r="50" spans="1:1" ht="13.8">
      <c r="A50" s="201" t="s">
        <v>331</v>
      </c>
    </row>
    <row r="51" spans="1:1" ht="13.8">
      <c r="A51" s="200" t="s">
        <v>330</v>
      </c>
    </row>
    <row r="52" spans="1:1" ht="13.8">
      <c r="A52" s="204"/>
    </row>
    <row r="53" spans="1:1" ht="13.8">
      <c r="A53" s="204"/>
    </row>
    <row r="55" spans="1:1" ht="13.8">
      <c r="A55" s="204"/>
    </row>
    <row r="56" spans="1:1" ht="13.8">
      <c r="A56" s="20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Balance sheet</vt:lpstr>
      <vt:lpstr>Income Statement</vt:lpstr>
      <vt:lpstr>Electric Plant</vt:lpstr>
      <vt:lpstr>Taxes</vt:lpstr>
      <vt:lpstr>Op &amp; Maint</vt:lpstr>
      <vt:lpstr>Mat&amp;Sup</vt:lpstr>
      <vt:lpstr>Prepay</vt:lpstr>
      <vt:lpstr>Wages</vt:lpstr>
      <vt:lpstr>G&amp;A</vt:lpstr>
      <vt:lpstr>Peaks</vt:lpstr>
      <vt:lpstr>IAUtil</vt:lpstr>
      <vt:lpstr>'Income Statement'!Print_Area</vt:lpstr>
    </vt:vector>
  </TitlesOfParts>
  <Company>Michigan Public Power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Horstmanshof</dc:creator>
  <cp:lastModifiedBy>Tina Stanley</cp:lastModifiedBy>
  <cp:lastPrinted>2009-03-12T15:44:21Z</cp:lastPrinted>
  <dcterms:created xsi:type="dcterms:W3CDTF">2005-04-15T13:36:01Z</dcterms:created>
  <dcterms:modified xsi:type="dcterms:W3CDTF">2017-03-03T20:02:45Z</dcterms:modified>
</cp:coreProperties>
</file>